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wprowadzone inwestycje" sheetId="1" r:id="rId1"/>
    <sheet name="poreczenia" sheetId="2" r:id="rId2"/>
    <sheet name="ppd" sheetId="3" r:id="rId3"/>
    <sheet name="nie wprowadz inwestycje" sheetId="4" r:id="rId4"/>
    <sheet name="kredyty_2_2" sheetId="5" r:id="rId5"/>
    <sheet name="Prognoza_2_2" sheetId="6" r:id="rId6"/>
    <sheet name="Prognoza_2" sheetId="7" r:id="rId7"/>
    <sheet name="kredyty_2" sheetId="8" r:id="rId8"/>
    <sheet name="kredyty" sheetId="9" r:id="rId9"/>
    <sheet name="Prognoza" sheetId="10" r:id="rId10"/>
  </sheets>
  <externalReferences>
    <externalReference r:id="rId13"/>
  </externalReferences>
  <definedNames>
    <definedName name="Excel_BuiltIn_Print_Area_1_1">'kredyty'!$A$1:$S$39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8_1">#REF!</definedName>
    <definedName name="Excel_BuiltIn_Print_Area_8_1_1">#REF!</definedName>
    <definedName name="_xlnm.Print_Area" localSheetId="8">'kredyty'!$A$1:$S$43</definedName>
  </definedNames>
  <calcPr fullCalcOnLoad="1"/>
</workbook>
</file>

<file path=xl/sharedStrings.xml><?xml version="1.0" encoding="utf-8"?>
<sst xmlns="http://schemas.openxmlformats.org/spreadsheetml/2006/main" count="549" uniqueCount="201">
  <si>
    <t xml:space="preserve">Plan wydatków inwestycyjnych  na 2010 rok </t>
  </si>
  <si>
    <t>w złotych</t>
  </si>
  <si>
    <t>Dział</t>
  </si>
  <si>
    <t>Rozdział</t>
  </si>
  <si>
    <t>§</t>
  </si>
  <si>
    <t>Nazwa</t>
  </si>
  <si>
    <t xml:space="preserve">Plan
</t>
  </si>
  <si>
    <t>1</t>
  </si>
  <si>
    <t xml:space="preserve">Wytwarzanie i zaopatrzenie w energię elektryczną, gaz i wodę </t>
  </si>
  <si>
    <t>Dostarczanie wody</t>
  </si>
  <si>
    <t xml:space="preserve"> Wydatki inwestycyjne jednostek budżetowych </t>
  </si>
  <si>
    <t>1. Modernizacja wodociągu w Lutówku</t>
  </si>
  <si>
    <t>3. Budowa sieci wodociągowej ul. Fabrycznej w Barlinku – finansowanie zgodnie z porozumieniem z HACON Sp.zoo</t>
  </si>
  <si>
    <t>Transport  i  łączność</t>
  </si>
  <si>
    <t>Drogi publiczne gminne</t>
  </si>
  <si>
    <t>Wydatki inwestycyjne jednostek budżetowych</t>
  </si>
  <si>
    <t>2. Budowa alejek cmentarnych</t>
  </si>
  <si>
    <t>3. Budowa drogi  gminnej w Strąpiu</t>
  </si>
  <si>
    <t>4. Przebudowa dróg gminnych z m. Osina do m.  Janowo (FOGR)</t>
  </si>
  <si>
    <t>5. Modernizacja drogi gminnej do Moczydła</t>
  </si>
  <si>
    <t>6. Budowa parkingów przy ul. Przemysłowej etap II i III</t>
  </si>
  <si>
    <t>7. Przebudowa  ul. Fabrycznej w Barlinku</t>
  </si>
  <si>
    <t>Dotacje celowe przekazane do samorządu powiatu na inwestycje i zakupy inwestycyjne realizowane na podstawie porozumień (umów) między jednostkami samorządu terytorialnego</t>
  </si>
  <si>
    <t>1. Budowa i przebudowa dróg łączących północną część miasta Barlinek z drogą wojewódzką DW 156</t>
  </si>
  <si>
    <t>Dotacje celowe przekazane do samorządu województwa na inwestycje i zakupy inwestycyjne realizowane na podstawie porozumień (umów) między jednostkami samorządu terytorialnego</t>
  </si>
  <si>
    <t>1.Przebudowa drogi gminnej Nr 156 na odcinku Mostkowo - Barlinek</t>
  </si>
  <si>
    <t>Działalność  usługowa</t>
  </si>
  <si>
    <t>Cmentarze</t>
  </si>
  <si>
    <t xml:space="preserve"> Wydatki inwestycyjne jednostek budżetowych</t>
  </si>
  <si>
    <t>1. Budowa cmentarza komunalnego przy ul. Szosowej w Barlinku</t>
  </si>
  <si>
    <t>1. Odnowienie miejsca pamięci i zakup wyposażenia dla muzeum Dziedzicach</t>
  </si>
  <si>
    <t>Bezpieczeństwo publiczne
I ochrona  przeciwpożarowa</t>
  </si>
  <si>
    <t>Ochotnicze Straże Pożarne</t>
  </si>
  <si>
    <t>1. Modernizacja strażnicy OSP w Barlinku na potrzeby Gminnego Centrum Ratownictwa</t>
  </si>
  <si>
    <t>Oświata  i  wychowanie</t>
  </si>
  <si>
    <t>Szkoły podstawowe</t>
  </si>
  <si>
    <t>4.Termomodernizacja obiektów użyteczności publicznej szkoły</t>
  </si>
  <si>
    <t>Gimnazja</t>
  </si>
  <si>
    <t>1.Termomodernizacja obiektów użyteczności publicznej szkoły</t>
  </si>
  <si>
    <t>Stołówki szkolne</t>
  </si>
  <si>
    <t xml:space="preserve"> Wydatki na zakupy inwestycyjne jednostek budżetowych</t>
  </si>
  <si>
    <t>1. Zakup zmywarki do PM Nr 2</t>
  </si>
  <si>
    <t>Gospodarka  komunalna  i  ochrona  środowiska</t>
  </si>
  <si>
    <t>Gospodarka ściekowa i ochrona wód</t>
  </si>
  <si>
    <t>1. Budowa sieci  kanalizacyjnej ul. Fabrycznej w Barlinku – finansowanie zgodnie z porozumieniem z HACON Sp. zoo</t>
  </si>
  <si>
    <t>Utrzymanie zieleni w miastach i gminach</t>
  </si>
  <si>
    <t xml:space="preserve">1.Zagospodarowanie parku oraz infrastruktury sportowej na cele społeczno - kulturalne, rekreacyjne i sportowe we wsi Mostkowo </t>
  </si>
  <si>
    <t xml:space="preserve">Oświetlenie ulic, placów i dróg </t>
  </si>
  <si>
    <t>1. Budowa oświetlenia drogowego</t>
  </si>
  <si>
    <t>Pozostała działalność</t>
  </si>
  <si>
    <t>2. Budowa ogrodzenie przy remizie w Łubiance</t>
  </si>
  <si>
    <t xml:space="preserve">Kultura  i  ochrona  dziedzictwa  narodowego </t>
  </si>
  <si>
    <t>Domy i ośrodki kultury, świetlice i kluby</t>
  </si>
  <si>
    <t>1. Przebudowa budynku na świetlicę w Dzikowie</t>
  </si>
  <si>
    <t>Kultura  fizyczna  i  sport</t>
  </si>
  <si>
    <t>1. Wykonanie ogrodzenia placów zabaw : Swadzim, Strapie</t>
  </si>
  <si>
    <t>Zakup placów zabaw 4 wiejskich i jeden miejski</t>
  </si>
  <si>
    <t>Ogółem:</t>
  </si>
  <si>
    <t>PORĘCZENIA UDZIELONE PRZEZ URZĄD MIASTA W BARLINKU</t>
  </si>
  <si>
    <t>Nazwa podmiotu</t>
  </si>
  <si>
    <t>kwota poręczenia</t>
  </si>
  <si>
    <t>rok spłaty</t>
  </si>
  <si>
    <t>odsetki</t>
  </si>
  <si>
    <t>kapitał</t>
  </si>
  <si>
    <t>BOK</t>
  </si>
  <si>
    <t>PEC SP ZOO</t>
  </si>
  <si>
    <t>SP ZOZ</t>
  </si>
  <si>
    <t>SMWL DOM</t>
  </si>
  <si>
    <t>BTBS SP ZOO</t>
  </si>
  <si>
    <t xml:space="preserve">SMWL DOM </t>
  </si>
  <si>
    <t>WEKSEL-Nordic Walking</t>
  </si>
  <si>
    <t>OGÓŁEM</t>
  </si>
  <si>
    <t>razem</t>
  </si>
  <si>
    <t>Źródła dochodów</t>
  </si>
  <si>
    <t>Kwota w zł</t>
  </si>
  <si>
    <t>Udział w  strukturze %</t>
  </si>
  <si>
    <t>Dochody z podatków, opłat, majątku Gminy</t>
  </si>
  <si>
    <t>Subwencje</t>
  </si>
  <si>
    <t xml:space="preserve">Dotacje celowe na zadania realizowane z zakresu administracji rządowej i na podstawie porozumień z organami administracji rządowej     </t>
  </si>
  <si>
    <t>Dotacje celowe z budżetu państwa i funduszy celowych,  środki z budżetu Unii Europejskiej oraz  środki pozyskane z innych źródeł na    dofinansowanie zadań własnych (inwestycyjnych i bieżących)</t>
  </si>
  <si>
    <t>Pozostałe dochody</t>
  </si>
  <si>
    <t>Wydatki inwestycyjne nie wprowadzone do budżetu</t>
  </si>
  <si>
    <t>2. Budowa stacji i sieci wodociągowej w Moczydle</t>
  </si>
  <si>
    <t>Drogi publiczne wojewódzkie</t>
  </si>
  <si>
    <t>1. Budowa chodnika w m. Łubianka nr drogi 151</t>
  </si>
  <si>
    <t>2. Budowa dróg gminnych dojazdowych do gruntów rolnych Nowa Dziedzina (dokumentacja) FOGR na 2011</t>
  </si>
  <si>
    <t>3.Przebudowa drogi gminnej w Mostkowie od kościoła do cmentarza</t>
  </si>
  <si>
    <t>Gospodarka  mieszkaniowa</t>
  </si>
  <si>
    <t>Gospodarka gruntami i nieruchomościami</t>
  </si>
  <si>
    <t>1. Termomodernizacja budynków mieszkalnych</t>
  </si>
  <si>
    <t>1. SP Mostkowo „Radosna Szkoła -place zabaw”</t>
  </si>
  <si>
    <t>2. SP Nr 1 „Radosna Szkoła -place zabaw”</t>
  </si>
  <si>
    <t>3. SP Nr 4 „Radosna Szkoła -place zabaw”</t>
  </si>
  <si>
    <t xml:space="preserve">1. Budowa promenady wraz z zagospodarowaniem terenów nad Jeziorem Barlineckim przy ul. Jeziornej w Barlinku na cele turystyczno rekreacyjne </t>
  </si>
  <si>
    <t>Biblioteki</t>
  </si>
  <si>
    <t xml:space="preserve">1.Bibloteka miejska w Barlinku – zmiana użytkowania budynku przy ul. Gorzowskiej </t>
  </si>
  <si>
    <t>Obiekty sportowe</t>
  </si>
  <si>
    <t>1. Modernizacja Stadionu Miejskiego w Barlinku</t>
  </si>
  <si>
    <t>Spłata rat kredytu i odsetek</t>
  </si>
  <si>
    <t>2009 r.</t>
  </si>
  <si>
    <t>2010 r.</t>
  </si>
  <si>
    <t>KREDYTY</t>
  </si>
  <si>
    <t>GBS Barlinek</t>
  </si>
  <si>
    <t>GBW Poznań</t>
  </si>
  <si>
    <t>BGK Szczecin</t>
  </si>
  <si>
    <t>Kredyt EBI 2009</t>
  </si>
  <si>
    <t>Kredyt EBI 2010</t>
  </si>
  <si>
    <t>Kredyt  2010</t>
  </si>
  <si>
    <t>kredyt 2011</t>
  </si>
  <si>
    <t>RAZEM</t>
  </si>
  <si>
    <t>ODSETKI</t>
  </si>
  <si>
    <t>BGK 2009</t>
  </si>
  <si>
    <t>obligacje</t>
  </si>
  <si>
    <t>BS W-wa</t>
  </si>
  <si>
    <t>suma obligacji i kredytów</t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</si>
  <si>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</si>
  <si>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Prognoza łącznej kwoty długu publicznego  Gminy Barlinek na lata 2009 – 2024</t>
  </si>
  <si>
    <t xml:space="preserve">  w zł  </t>
  </si>
  <si>
    <t>Lp.</t>
  </si>
  <si>
    <t>Wyszczególnienie</t>
  </si>
  <si>
    <t>Wykonanie</t>
  </si>
  <si>
    <t>Przewidywane wykonanie</t>
  </si>
  <si>
    <t>2007 r.</t>
  </si>
  <si>
    <t>2008 r.</t>
  </si>
  <si>
    <r>
      <t xml:space="preserve">A. DOCHODY </t>
    </r>
    <r>
      <rPr>
        <sz val="10"/>
        <rFont val="Arial CE"/>
        <family val="2"/>
      </rPr>
      <t>(A1+A2) (Dog)</t>
    </r>
  </si>
  <si>
    <t>A1. Dochody bieżące (Db)</t>
  </si>
  <si>
    <t>A2. Dochody majątkowe</t>
  </si>
  <si>
    <t>w tym ze sprzedaży majątku (Sm)</t>
  </si>
  <si>
    <r>
      <t xml:space="preserve">B. WYDATKI  </t>
    </r>
    <r>
      <rPr>
        <sz val="10"/>
        <rFont val="Arial CE"/>
        <family val="2"/>
      </rPr>
      <t>(B1+B2)</t>
    </r>
  </si>
  <si>
    <t>B1. Wydatki bieżące (Wb)</t>
  </si>
  <si>
    <t>B2. Wydatki majątkowe</t>
  </si>
  <si>
    <t>C. NADWYŻKA / DEFICYT (A-B)</t>
  </si>
  <si>
    <t>D. FINANSOWANIE (D1-D2)</t>
  </si>
  <si>
    <r>
      <t xml:space="preserve">D1. Przychody ogółem 
</t>
    </r>
    <r>
      <rPr>
        <b/>
        <sz val="9"/>
        <rFont val="Times New Roman"/>
        <family val="1"/>
      </rPr>
      <t xml:space="preserve">    </t>
    </r>
    <r>
      <rPr>
        <b/>
        <sz val="9"/>
        <rFont val="Arial CE"/>
        <family val="2"/>
      </rPr>
      <t xml:space="preserve">   </t>
    </r>
    <r>
      <rPr>
        <sz val="9"/>
        <rFont val="Arial CE"/>
        <family val="2"/>
      </rPr>
      <t>z tego:</t>
    </r>
  </si>
  <si>
    <t>D11. kredyty
 w tym:</t>
  </si>
  <si>
    <t>D111. zaciągnięte w związku z umową zawartą z podmiotem dysponującym środkami, o których mowa w art. 5 ust. 3 ufp</t>
  </si>
  <si>
    <t>D12. pożyczki
w tym:</t>
  </si>
  <si>
    <t>D121. zaciągnięte w związku z umową zawartą z podmiotem dysponującym środkami, o których mowa w art. 5 ust. 3 ufp</t>
  </si>
  <si>
    <t>D13. spłata pożyczek udzielonych</t>
  </si>
  <si>
    <t>D14. nadwyżka z lat ubiegłych
w tym:</t>
  </si>
  <si>
    <t>D141. środki na pokrycie deficytu</t>
  </si>
  <si>
    <t>D15. obligacje jednostek samorządowych 
        oraz związków komunalnych
w tym:</t>
  </si>
  <si>
    <t>D151. wyemitowane w związku z umową zawartą z podmiotem dysponującym środkami, o których mowa w art. 5 ust. 3 ufp</t>
  </si>
  <si>
    <t>D16. prywatyzacja majątku jst</t>
  </si>
  <si>
    <t>D17. inne źródła
w tym:</t>
  </si>
  <si>
    <t xml:space="preserve">       D171. środki na pokrycie deficytu</t>
  </si>
  <si>
    <r>
      <t>D2. Rozchody ogó</t>
    </r>
    <r>
      <rPr>
        <b/>
        <sz val="9"/>
        <rFont val="Times New Roman"/>
        <family val="1"/>
      </rPr>
      <t xml:space="preserve">łem 
 </t>
    </r>
    <r>
      <rPr>
        <b/>
        <sz val="9"/>
        <rFont val="Arial CE"/>
        <family val="2"/>
      </rPr>
      <t xml:space="preserve">      z tego:</t>
    </r>
  </si>
  <si>
    <t>D21. spłaty kredytów
 w tym:</t>
  </si>
  <si>
    <t>D211. zaciągniętych w związku z umową zawartą z podmiotem dysponującym środkami, o których mowa w art. 5 ust. 3 ufp</t>
  </si>
  <si>
    <t>D22. spłaty pożyczek
w tym:</t>
  </si>
  <si>
    <t>D221. zaciągniętych w związku z umową zawartą z podmiotem dysponującym środkami, o których mowa w art. 5 ust. 3 ufp</t>
  </si>
  <si>
    <t>D23. pożyczki (udzielone)</t>
  </si>
  <si>
    <t>D24. lokaty w bankach</t>
  </si>
  <si>
    <t>D25. wykup obligacji samorządowych
w tym:</t>
  </si>
  <si>
    <t>D251. wyemitowanych w związku z umową zawartą z podmiotem dysponującym środkami, o których mowa w art. 5 ust. 3 ufp.</t>
  </si>
  <si>
    <t>D26. inne cele</t>
  </si>
  <si>
    <t>E. Umorzenie pożyczki</t>
  </si>
  <si>
    <r>
      <t xml:space="preserve">F. DŁUG NA KONIEC ROKU
</t>
    </r>
    <r>
      <rPr>
        <b/>
        <sz val="9"/>
        <rFont val="Times New Roman"/>
        <family val="1"/>
      </rPr>
      <t xml:space="preserve">          </t>
    </r>
    <r>
      <rPr>
        <b/>
        <sz val="9"/>
        <rFont val="Arial CE"/>
        <family val="2"/>
      </rPr>
      <t>(1+2+3+4+5+6):</t>
    </r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</si>
  <si>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</si>
  <si>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</si>
  <si>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</si>
  <si>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</si>
  <si>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 xml:space="preserve"> 5) wymagalne zobowiązania
w tym:</t>
  </si>
  <si>
    <t xml:space="preserve">   a) wynikające z ustaw i orzeczeń sądów
Lub ostatecznych decyzji administracyjnych,</t>
  </si>
  <si>
    <t xml:space="preserve">   b) uznane za bezsporne przez właściwą jednostkę sektora finansów publicznych, będącą dłużnikiem</t>
  </si>
  <si>
    <r>
      <t xml:space="preserve"> 6) zobowiązania związane z umową zawartą z podmiotem dysponującym środkami,o których mowa w art. 5 </t>
    </r>
    <r>
      <rPr>
        <b/>
        <sz val="9"/>
        <rFont val="Times New Roman"/>
        <family val="1"/>
      </rPr>
      <t xml:space="preserve">ust. 3 ufp </t>
    </r>
    <r>
      <rPr>
        <sz val="9"/>
        <rFont val="Arial CE"/>
        <family val="2"/>
      </rPr>
      <t>(a+b+c):</t>
    </r>
    <r>
      <rPr>
        <b/>
        <sz val="9"/>
        <rFont val="Arial CE"/>
        <family val="2"/>
      </rPr>
      <t xml:space="preserve">   </t>
    </r>
  </si>
  <si>
    <t xml:space="preserve">      a) kredyty,</t>
  </si>
  <si>
    <t xml:space="preserve">      b) pożyczki,</t>
  </si>
  <si>
    <t xml:space="preserve">      c) emitowane papiery wartościowe.</t>
  </si>
  <si>
    <r>
      <t xml:space="preserve">G. </t>
    </r>
    <r>
      <rPr>
        <b/>
        <sz val="9"/>
        <rFont val="Times New Roman"/>
        <family val="1"/>
      </rPr>
      <t>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łącznego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(poz.34 / poz.1) %</t>
    </r>
  </si>
  <si>
    <r>
      <t>G1.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 xml:space="preserve">ugu do dochodu </t>
    </r>
    <r>
      <rPr>
        <i/>
        <sz val="9"/>
        <rFont val="Arial CE"/>
        <family val="2"/>
      </rPr>
      <t>(bez poz. 42)</t>
    </r>
    <r>
      <rPr>
        <b/>
        <sz val="9"/>
        <rFont val="Arial CE"/>
        <family val="2"/>
      </rPr>
      <t>((poz.34 (-) poz. 42) / poz.1) %</t>
    </r>
  </si>
  <si>
    <r>
      <t xml:space="preserve">H. OBCIĄŻENIE ROCZNE BUDŻETU
   z tytułu spłaty zadłużenia </t>
    </r>
    <r>
      <rPr>
        <b/>
        <sz val="9"/>
        <rFont val="Arial CE"/>
        <family val="2"/>
      </rPr>
      <t>(1+2+3+4+5+6):</t>
    </r>
  </si>
  <si>
    <r>
      <t xml:space="preserve"> 1)  spłat</t>
    </r>
    <r>
      <rPr>
        <b/>
        <sz val="9"/>
        <rFont val="Times New Roman"/>
        <family val="1"/>
      </rPr>
      <t>y rat kredytów</t>
    </r>
    <r>
      <rPr>
        <b/>
        <sz val="9"/>
        <rFont val="Arial CE"/>
        <family val="2"/>
      </rPr>
      <t xml:space="preserve"> (art.82 ust.1 pkt 2 i 3 ufp) z odsetkami,</t>
    </r>
  </si>
  <si>
    <r>
      <t xml:space="preserve"> 2)  spł</t>
    </r>
    <r>
      <rPr>
        <b/>
        <sz val="9"/>
        <rFont val="Times New Roman"/>
        <family val="1"/>
      </rPr>
      <t xml:space="preserve">aty rat pożyczek </t>
    </r>
    <r>
      <rPr>
        <b/>
        <sz val="9"/>
        <rFont val="Arial CE"/>
        <family val="2"/>
      </rPr>
      <t>(art.82 ust.1 pkt 2 i 3 ufp) z odsetkami,</t>
    </r>
  </si>
  <si>
    <t xml:space="preserve"> 3) potenc. spłaty udzielonych poręczeń
     z należnymi odsetkami,</t>
  </si>
  <si>
    <r>
      <t xml:space="preserve"> 4) wykup papierów wartościowych wyemitowanych 
</t>
    </r>
    <r>
      <rPr>
        <b/>
        <sz val="9"/>
        <rFont val="Times New Roman"/>
        <family val="1"/>
      </rPr>
      <t xml:space="preserve">     przez j.s.t. </t>
    </r>
    <r>
      <rPr>
        <sz val="9"/>
        <rFont val="Arial CE"/>
        <family val="2"/>
      </rPr>
      <t>(art.82 ust.1 pkt 2 i 3 ufp)</t>
    </r>
    <r>
      <rPr>
        <b/>
        <sz val="9"/>
        <rFont val="Arial CE"/>
        <family val="2"/>
      </rPr>
      <t>, 
     z należnymi odsetkami i dyskontem,</t>
    </r>
  </si>
  <si>
    <t xml:space="preserve"> 5) odsetki od kredytów i pożyczek oraz odsetki 
    i dyskonto od papierów wart. wyemitowanych 
    przez jst (art.82 ust.1 pkt 1 ufp),</t>
  </si>
  <si>
    <r>
      <t xml:space="preserve"> 6) spłaty zobowiązań związanych z umową 
      zawartą z podmiotem dysponującym środkami, 
      o których mowa w art. 5 ust. 3 ufp </t>
    </r>
    <r>
      <rPr>
        <sz val="12"/>
        <rFont val="Arial CE"/>
        <family val="2"/>
      </rPr>
      <t>(a+b+c+d):</t>
    </r>
  </si>
  <si>
    <t xml:space="preserve">     a) spłaty rat kredytów z odsetkami,</t>
  </si>
  <si>
    <t xml:space="preserve">     b) spłaty rat pożyczek z odsetkami,</t>
  </si>
  <si>
    <t xml:space="preserve">     c) wykup papierów wartościowych z odsetkami i dyskontem,</t>
  </si>
  <si>
    <t xml:space="preserve">     d) potencjalne spłaty poręczeń i gwarancji udzielonych 
        samorządowym osobom prawnym realizującym zadania jst</t>
  </si>
  <si>
    <r>
      <t>I. Wskaźnik rocznej spłaty łącznego</t>
    </r>
    <r>
      <rPr>
        <b/>
        <sz val="9"/>
        <rFont val="Times New Roman"/>
        <family val="1"/>
      </rPr>
      <t xml:space="preserve"> zadłużenia do dochodu </t>
    </r>
    <r>
      <rPr>
        <b/>
        <sz val="9"/>
        <rFont val="Arial CE"/>
        <family val="2"/>
      </rPr>
      <t xml:space="preserve"> (poz.45 / poz.1) %</t>
    </r>
  </si>
  <si>
    <r>
      <t>I1. Wskaźnik rocznej spłaty z</t>
    </r>
    <r>
      <rPr>
        <b/>
        <sz val="9"/>
        <rFont val="Times New Roman"/>
        <family val="1"/>
      </rPr>
      <t xml:space="preserve">adłużenia do dochodu </t>
    </r>
    <r>
      <rPr>
        <i/>
        <sz val="9"/>
        <rFont val="Times New Roman"/>
        <family val="1"/>
      </rPr>
      <t>(bez poz. 51)</t>
    </r>
    <r>
      <rPr>
        <b/>
        <sz val="9"/>
        <rFont val="Times New Roman"/>
        <family val="1"/>
      </rPr>
      <t xml:space="preserve"> ((poz.45 (-) poz. 51) / poz.1) %</t>
    </r>
  </si>
  <si>
    <t>Fakultatywne dane uzupełniające dotyczące relacji, o której mowa w art. 243 ustawy z dnia 27 sierpnia 2009 r. o finansach publicznych</t>
  </si>
  <si>
    <t>Dochody bieżące   Db</t>
  </si>
  <si>
    <t>Sprzedaż majątku   Sm</t>
  </si>
  <si>
    <t>Wydatki bieżące   Wb</t>
  </si>
  <si>
    <t>Wskaźnik (Db + Sm - Wb) / Dog</t>
  </si>
  <si>
    <r>
      <t xml:space="preserve">Spłata rat (R + O) </t>
    </r>
    <r>
      <rPr>
        <sz val="8"/>
        <rFont val="Times New Roman"/>
        <family val="1"/>
      </rPr>
      <t xml:space="preserve">(poz. 46+47+49) </t>
    </r>
  </si>
  <si>
    <r>
      <t>Wskaźnik (R + O) / Dog</t>
    </r>
    <r>
      <rPr>
        <sz val="8"/>
        <rFont val="Times New Roman"/>
        <family val="1"/>
      </rPr>
      <t xml:space="preserve"> (poz. 46+47+49)/poz. 1</t>
    </r>
  </si>
  <si>
    <t>1)  - podać dane na poszczególne lata objęte spłatą całego zadłużenia</t>
  </si>
  <si>
    <r>
      <t xml:space="preserve">2) </t>
    </r>
    <r>
      <rPr>
        <sz val="10"/>
        <color indexed="8"/>
        <rFont val="Arial CE"/>
        <family val="2"/>
      </rPr>
      <t xml:space="preserve"> -  depozyty przyjęte do budżetu </t>
    </r>
  </si>
  <si>
    <t>III/2009 r.</t>
  </si>
  <si>
    <t>suma obligacji i kredytów (kapitał)</t>
  </si>
  <si>
    <r>
      <t xml:space="preserve">       </t>
    </r>
    <r>
      <rPr>
        <i/>
        <sz val="8"/>
        <rFont val="Arial CE"/>
        <family val="2"/>
      </rPr>
      <t>(pieczęć  j.s.t.)</t>
    </r>
  </si>
  <si>
    <t xml:space="preserve">   a) wynikające z ustaw i orzeczeń sądów lub ostatecznych decyzji administracyjnych,</t>
  </si>
  <si>
    <t xml:space="preserve">   b) uznane za bezsporne przez właściwą jednostkę
Sektora finansów publicznych, będącą dłużnikiem</t>
  </si>
  <si>
    <r>
      <t xml:space="preserve"> 6) zobowiązania związane z umową 
     zawartą z podmiotem dysponującym środkami, 
     o których mowa w art. 5 </t>
    </r>
    <r>
      <rPr>
        <b/>
        <sz val="9"/>
        <rFont val="Times New Roman"/>
        <family val="1"/>
      </rPr>
      <t xml:space="preserve">ust. 3 ufp </t>
    </r>
    <r>
      <rPr>
        <sz val="9"/>
        <rFont val="Arial CE"/>
        <family val="2"/>
      </rPr>
      <t>(a+b+c):</t>
    </r>
    <r>
      <rPr>
        <b/>
        <sz val="9"/>
        <rFont val="Arial CE"/>
        <family val="2"/>
      </rPr>
      <t xml:space="preserve">   </t>
    </r>
  </si>
  <si>
    <r>
      <t xml:space="preserve"> 4) wykup papierów wartościowych wyemitowanych </t>
    </r>
    <r>
      <rPr>
        <b/>
        <sz val="9"/>
        <rFont val="Times New Roman"/>
        <family val="1"/>
      </rPr>
      <t xml:space="preserve">przez j.s.t. </t>
    </r>
    <r>
      <rPr>
        <sz val="9"/>
        <rFont val="Arial CE"/>
        <family val="2"/>
      </rPr>
      <t>(art.82 ust.1 pkt 2 i 3 ufp)</t>
    </r>
    <r>
      <rPr>
        <b/>
        <sz val="9"/>
        <rFont val="Arial CE"/>
        <family val="2"/>
      </rPr>
      <t>,  z należnymi odsetkami i dyskontem,</t>
    </r>
  </si>
  <si>
    <r>
      <t>1)</t>
    </r>
    <r>
      <rPr>
        <sz val="10"/>
        <rFont val="Arial CE"/>
        <family val="2"/>
      </rPr>
      <t xml:space="preserve">  - podać dane na poszczególne lata objęte spłatą całego zadłużenia
</t>
    </r>
    <r>
      <rPr>
        <vertAlign val="superscript"/>
        <sz val="10"/>
        <rFont val="Arial CE"/>
        <family val="2"/>
      </rPr>
      <t xml:space="preserve">2) </t>
    </r>
    <r>
      <rPr>
        <sz val="10"/>
        <rFont val="Arial CE"/>
        <family val="2"/>
      </rPr>
      <t xml:space="preserve"> -  depozyty przyjęte do budżetu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</si>
</sst>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\ _z_ł"/>
    <numFmt numFmtId="166" formatCode="#,##0.0"/>
    <numFmt numFmtId="167" formatCode="0.0"/>
  </numFmts>
  <fonts count="6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b/>
      <vertAlign val="superscript"/>
      <sz val="12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i/>
      <sz val="9"/>
      <name val="Arial CE"/>
      <family val="2"/>
    </font>
    <font>
      <sz val="12"/>
      <name val="Arial CE"/>
      <family val="2"/>
    </font>
    <font>
      <i/>
      <sz val="9"/>
      <name val="Times New Roman"/>
      <family val="1"/>
    </font>
    <font>
      <vertAlign val="superscript"/>
      <sz val="10"/>
      <color indexed="8"/>
      <name val="Arial CE"/>
      <family val="2"/>
    </font>
    <font>
      <sz val="10"/>
      <color indexed="8"/>
      <name val="Arial CE"/>
      <family val="2"/>
    </font>
    <font>
      <b/>
      <sz val="15"/>
      <name val="Times New Roman"/>
      <family val="1"/>
    </font>
    <font>
      <vertAlign val="superscript"/>
      <sz val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1" applyNumberFormat="0" applyAlignment="0" applyProtection="0"/>
    <xf numFmtId="0" fontId="8" fillId="17" borderId="2" applyNumberFormat="0" applyAlignment="0" applyProtection="0"/>
    <xf numFmtId="0" fontId="9" fillId="3" borderId="1" applyNumberFormat="0" applyAlignment="0" applyProtection="0"/>
    <xf numFmtId="0" fontId="10" fillId="10" borderId="3" applyNumberFormat="0" applyAlignment="0" applyProtection="0"/>
    <xf numFmtId="0" fontId="11" fillId="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7" applyNumberFormat="0" applyFill="0" applyAlignment="0" applyProtection="0"/>
    <xf numFmtId="0" fontId="19" fillId="26" borderId="2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5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0" fillId="4" borderId="10" applyNumberFormat="0" applyAlignment="0" applyProtection="0"/>
    <xf numFmtId="0" fontId="26" fillId="10" borderId="1" applyNumberFormat="0" applyAlignment="0" applyProtection="0"/>
    <xf numFmtId="0" fontId="27" fillId="2" borderId="3" applyNumberFormat="0" applyAlignment="0" applyProtection="0"/>
    <xf numFmtId="9" fontId="1" fillId="0" borderId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0" fillId="4" borderId="1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3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49" fontId="37" fillId="2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49" fontId="40" fillId="10" borderId="15" xfId="0" applyNumberFormat="1" applyFont="1" applyFill="1" applyBorder="1" applyAlignment="1">
      <alignment horizontal="center" vertical="center" wrapText="1"/>
    </xf>
    <xf numFmtId="0" fontId="40" fillId="10" borderId="15" xfId="0" applyFont="1" applyFill="1" applyBorder="1" applyAlignment="1">
      <alignment horizontal="center" vertical="center" wrapText="1"/>
    </xf>
    <xf numFmtId="0" fontId="37" fillId="27" borderId="15" xfId="0" applyFont="1" applyFill="1" applyBorder="1" applyAlignment="1">
      <alignment horizontal="center" vertical="center"/>
    </xf>
    <xf numFmtId="0" fontId="37" fillId="27" borderId="15" xfId="0" applyFont="1" applyFill="1" applyBorder="1" applyAlignment="1">
      <alignment horizontal="center" vertical="center" wrapText="1"/>
    </xf>
    <xf numFmtId="3" fontId="37" fillId="27" borderId="15" xfId="0" applyNumberFormat="1" applyFont="1" applyFill="1" applyBorder="1" applyAlignment="1">
      <alignment horizontal="right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justify" vertical="center" wrapText="1"/>
    </xf>
    <xf numFmtId="3" fontId="37" fillId="0" borderId="15" xfId="0" applyNumberFormat="1" applyFont="1" applyBorder="1" applyAlignment="1">
      <alignment horizontal="right" vertical="center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vertical="center" wrapText="1"/>
    </xf>
    <xf numFmtId="3" fontId="36" fillId="0" borderId="15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164" fontId="0" fillId="0" borderId="15" xfId="0" applyNumberFormat="1" applyFont="1" applyBorder="1" applyAlignment="1">
      <alignment/>
    </xf>
    <xf numFmtId="164" fontId="36" fillId="0" borderId="15" xfId="0" applyNumberFormat="1" applyFont="1" applyBorder="1" applyAlignment="1">
      <alignment vertical="center" wrapText="1"/>
    </xf>
    <xf numFmtId="0" fontId="36" fillId="2" borderId="15" xfId="0" applyFont="1" applyFill="1" applyBorder="1" applyAlignment="1">
      <alignment horizontal="left" vertical="center" wrapText="1"/>
    </xf>
    <xf numFmtId="3" fontId="36" fillId="0" borderId="15" xfId="0" applyNumberFormat="1" applyFont="1" applyBorder="1" applyAlignment="1">
      <alignment vertical="center"/>
    </xf>
    <xf numFmtId="0" fontId="37" fillId="0" borderId="15" xfId="0" applyFont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0" fontId="41" fillId="2" borderId="15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3" fontId="42" fillId="2" borderId="15" xfId="0" applyNumberFormat="1" applyFont="1" applyFill="1" applyBorder="1" applyAlignment="1">
      <alignment vertical="center" wrapText="1"/>
    </xf>
    <xf numFmtId="3" fontId="37" fillId="0" borderId="15" xfId="0" applyNumberFormat="1" applyFont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right" vertical="center" wrapText="1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right" vertical="center"/>
    </xf>
    <xf numFmtId="3" fontId="37" fillId="5" borderId="15" xfId="0" applyNumberFormat="1" applyFont="1" applyFill="1" applyBorder="1" applyAlignment="1">
      <alignment horizontal="right" vertical="center"/>
    </xf>
    <xf numFmtId="2" fontId="36" fillId="0" borderId="0" xfId="0" applyNumberFormat="1" applyFont="1" applyAlignment="1">
      <alignment horizontal="right" vertical="center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5" xfId="0" applyNumberFormat="1" applyFont="1" applyBorder="1" applyAlignment="1">
      <alignment horizontal="center"/>
    </xf>
    <xf numFmtId="0" fontId="39" fillId="0" borderId="0" xfId="0" applyFont="1" applyAlignment="1">
      <alignment/>
    </xf>
    <xf numFmtId="2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15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right"/>
    </xf>
    <xf numFmtId="3" fontId="40" fillId="0" borderId="15" xfId="0" applyNumberFormat="1" applyFont="1" applyBorder="1" applyAlignment="1">
      <alignment/>
    </xf>
    <xf numFmtId="0" fontId="39" fillId="0" borderId="15" xfId="0" applyFont="1" applyFill="1" applyBorder="1" applyAlignment="1">
      <alignment wrapText="1"/>
    </xf>
    <xf numFmtId="3" fontId="40" fillId="0" borderId="15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39" fillId="0" borderId="15" xfId="0" applyFont="1" applyBorder="1" applyAlignment="1">
      <alignment/>
    </xf>
    <xf numFmtId="165" fontId="40" fillId="0" borderId="0" xfId="0" applyNumberFormat="1" applyFont="1" applyBorder="1" applyAlignment="1">
      <alignment/>
    </xf>
    <xf numFmtId="3" fontId="39" fillId="0" borderId="15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165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left" wrapText="1"/>
    </xf>
    <xf numFmtId="3" fontId="45" fillId="0" borderId="15" xfId="0" applyNumberFormat="1" applyFont="1" applyBorder="1" applyAlignment="1">
      <alignment/>
    </xf>
    <xf numFmtId="3" fontId="45" fillId="0" borderId="15" xfId="0" applyNumberFormat="1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wrapText="1"/>
    </xf>
    <xf numFmtId="3" fontId="46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" fontId="37" fillId="0" borderId="0" xfId="0" applyNumberFormat="1" applyFont="1" applyBorder="1" applyAlignment="1">
      <alignment vertical="center"/>
    </xf>
    <xf numFmtId="166" fontId="37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2" borderId="15" xfId="0" applyFont="1" applyFill="1" applyBorder="1" applyAlignment="1">
      <alignment horizontal="center" vertical="center"/>
    </xf>
    <xf numFmtId="3" fontId="36" fillId="2" borderId="15" xfId="0" applyNumberFormat="1" applyFont="1" applyFill="1" applyBorder="1" applyAlignment="1">
      <alignment horizontal="right" vertical="center"/>
    </xf>
    <xf numFmtId="4" fontId="36" fillId="0" borderId="0" xfId="0" applyNumberFormat="1" applyFont="1" applyBorder="1" applyAlignment="1">
      <alignment vertical="center"/>
    </xf>
    <xf numFmtId="166" fontId="36" fillId="0" borderId="0" xfId="0" applyNumberFormat="1" applyFont="1" applyBorder="1" applyAlignment="1">
      <alignment vertical="center"/>
    </xf>
    <xf numFmtId="3" fontId="36" fillId="2" borderId="15" xfId="0" applyNumberFormat="1" applyFont="1" applyFill="1" applyBorder="1" applyAlignment="1">
      <alignment horizontal="right" vertical="center"/>
    </xf>
    <xf numFmtId="0" fontId="36" fillId="0" borderId="15" xfId="0" applyFont="1" applyBorder="1" applyAlignment="1">
      <alignment vertical="top"/>
    </xf>
    <xf numFmtId="3" fontId="36" fillId="0" borderId="15" xfId="0" applyNumberFormat="1" applyFont="1" applyBorder="1" applyAlignment="1">
      <alignment horizontal="right" vertical="top"/>
    </xf>
    <xf numFmtId="0" fontId="42" fillId="0" borderId="15" xfId="0" applyNumberFormat="1" applyFont="1" applyFill="1" applyBorder="1" applyAlignment="1">
      <alignment vertical="center" wrapText="1"/>
    </xf>
    <xf numFmtId="0" fontId="40" fillId="2" borderId="0" xfId="87" applyFont="1" applyFill="1" applyAlignment="1">
      <alignment horizontal="center"/>
      <protection/>
    </xf>
    <xf numFmtId="0" fontId="40" fillId="2" borderId="0" xfId="87" applyFont="1" applyFill="1">
      <alignment/>
      <protection/>
    </xf>
    <xf numFmtId="0" fontId="40" fillId="2" borderId="0" xfId="87" applyFont="1" applyFill="1" applyBorder="1" applyAlignment="1">
      <alignment horizontal="center"/>
      <protection/>
    </xf>
    <xf numFmtId="0" fontId="40" fillId="2" borderId="15" xfId="87" applyFont="1" applyFill="1" applyBorder="1" applyAlignment="1">
      <alignment horizontal="center"/>
      <protection/>
    </xf>
    <xf numFmtId="0" fontId="40" fillId="2" borderId="15" xfId="87" applyFont="1" applyFill="1" applyBorder="1">
      <alignment/>
      <protection/>
    </xf>
    <xf numFmtId="0" fontId="39" fillId="2" borderId="15" xfId="87" applyFont="1" applyFill="1" applyBorder="1" applyAlignment="1">
      <alignment horizontal="center" vertical="center"/>
      <protection/>
    </xf>
    <xf numFmtId="0" fontId="40" fillId="2" borderId="15" xfId="87" applyFont="1" applyFill="1" applyBorder="1" applyAlignment="1">
      <alignment horizontal="center" vertical="center"/>
      <protection/>
    </xf>
    <xf numFmtId="0" fontId="39" fillId="2" borderId="15" xfId="87" applyFont="1" applyFill="1" applyBorder="1" applyAlignment="1">
      <alignment vertical="center" wrapText="1"/>
      <protection/>
    </xf>
    <xf numFmtId="3" fontId="40" fillId="2" borderId="15" xfId="0" applyNumberFormat="1" applyFont="1" applyFill="1" applyBorder="1" applyAlignment="1">
      <alignment vertical="center"/>
    </xf>
    <xf numFmtId="3" fontId="39" fillId="2" borderId="15" xfId="87" applyNumberFormat="1" applyFont="1" applyFill="1" applyBorder="1" applyAlignment="1">
      <alignment vertical="center"/>
      <protection/>
    </xf>
    <xf numFmtId="0" fontId="40" fillId="2" borderId="15" xfId="87" applyFont="1" applyFill="1" applyBorder="1" applyAlignment="1">
      <alignment vertical="center" wrapText="1"/>
      <protection/>
    </xf>
    <xf numFmtId="3" fontId="40" fillId="2" borderId="15" xfId="87" applyNumberFormat="1" applyFont="1" applyFill="1" applyBorder="1" applyAlignment="1">
      <alignment vertical="center"/>
      <protection/>
    </xf>
    <xf numFmtId="3" fontId="40" fillId="2" borderId="0" xfId="87" applyNumberFormat="1" applyFont="1" applyFill="1">
      <alignment/>
      <protection/>
    </xf>
    <xf numFmtId="3" fontId="39" fillId="2" borderId="15" xfId="0" applyNumberFormat="1" applyFont="1" applyFill="1" applyBorder="1" applyAlignment="1">
      <alignment vertical="center"/>
    </xf>
    <xf numFmtId="0" fontId="39" fillId="2" borderId="0" xfId="87" applyFont="1" applyFill="1">
      <alignment/>
      <protection/>
    </xf>
    <xf numFmtId="0" fontId="48" fillId="0" borderId="0" xfId="0" applyFont="1" applyAlignment="1">
      <alignment/>
    </xf>
    <xf numFmtId="0" fontId="40" fillId="2" borderId="0" xfId="87" applyFont="1" applyFill="1" applyBorder="1" applyAlignment="1">
      <alignment horizontal="center" vertical="center"/>
      <protection/>
    </xf>
    <xf numFmtId="0" fontId="40" fillId="2" borderId="0" xfId="87" applyFont="1" applyFill="1" applyBorder="1" applyAlignment="1">
      <alignment vertical="center" wrapText="1"/>
      <protection/>
    </xf>
    <xf numFmtId="3" fontId="40" fillId="2" borderId="0" xfId="87" applyNumberFormat="1" applyFont="1" applyFill="1" applyBorder="1" applyAlignment="1">
      <alignment vertical="center"/>
      <protection/>
    </xf>
    <xf numFmtId="3" fontId="40" fillId="2" borderId="0" xfId="0" applyNumberFormat="1" applyFont="1" applyFill="1" applyBorder="1" applyAlignment="1">
      <alignment vertical="center"/>
    </xf>
    <xf numFmtId="3" fontId="39" fillId="2" borderId="0" xfId="87" applyNumberFormat="1" applyFont="1" applyFill="1" applyBorder="1" applyAlignment="1">
      <alignment vertical="center"/>
      <protection/>
    </xf>
    <xf numFmtId="3" fontId="47" fillId="2" borderId="0" xfId="87" applyNumberFormat="1" applyFont="1" applyFill="1" applyBorder="1" applyAlignment="1">
      <alignment vertical="center"/>
      <protection/>
    </xf>
    <xf numFmtId="3" fontId="39" fillId="2" borderId="0" xfId="0" applyNumberFormat="1" applyFont="1" applyFill="1" applyBorder="1" applyAlignment="1">
      <alignment vertical="center"/>
    </xf>
    <xf numFmtId="0" fontId="47" fillId="2" borderId="0" xfId="87" applyFont="1" applyFill="1">
      <alignment/>
      <protection/>
    </xf>
    <xf numFmtId="0" fontId="49" fillId="0" borderId="0" xfId="0" applyFont="1" applyAlignment="1">
      <alignment/>
    </xf>
    <xf numFmtId="0" fontId="39" fillId="2" borderId="0" xfId="87" applyFont="1" applyFill="1" applyBorder="1" applyAlignment="1">
      <alignment horizontal="center" vertical="center"/>
      <protection/>
    </xf>
    <xf numFmtId="0" fontId="39" fillId="2" borderId="0" xfId="87" applyFont="1" applyFill="1" applyBorder="1" applyAlignment="1">
      <alignment vertical="center" wrapText="1"/>
      <protection/>
    </xf>
    <xf numFmtId="0" fontId="50" fillId="0" borderId="0" xfId="87" applyFont="1" applyAlignment="1">
      <alignment horizontal="center"/>
      <protection/>
    </xf>
    <xf numFmtId="0" fontId="50" fillId="0" borderId="0" xfId="87" applyFont="1" applyAlignment="1">
      <alignment wrapText="1"/>
      <protection/>
    </xf>
    <xf numFmtId="0" fontId="50" fillId="0" borderId="0" xfId="87" applyFont="1">
      <alignment/>
      <protection/>
    </xf>
    <xf numFmtId="0" fontId="50" fillId="0" borderId="0" xfId="0" applyFont="1" applyAlignment="1">
      <alignment horizontal="left" wrapText="1"/>
    </xf>
    <xf numFmtId="0" fontId="52" fillId="0" borderId="0" xfId="87" applyFont="1" applyBorder="1" applyAlignment="1">
      <alignment horizontal="center" vertical="center" wrapText="1"/>
      <protection/>
    </xf>
    <xf numFmtId="0" fontId="53" fillId="0" borderId="0" xfId="87" applyFont="1" applyBorder="1" applyAlignment="1">
      <alignment horizontal="center" vertical="center" wrapText="1"/>
      <protection/>
    </xf>
    <xf numFmtId="0" fontId="52" fillId="0" borderId="15" xfId="87" applyFont="1" applyBorder="1" applyAlignment="1">
      <alignment horizontal="center"/>
      <protection/>
    </xf>
    <xf numFmtId="0" fontId="52" fillId="0" borderId="15" xfId="87" applyFont="1" applyBorder="1" applyAlignment="1">
      <alignment horizontal="center" wrapText="1"/>
      <protection/>
    </xf>
    <xf numFmtId="0" fontId="52" fillId="0" borderId="15" xfId="87" applyFont="1" applyBorder="1" applyAlignment="1">
      <alignment horizontal="center" vertical="center"/>
      <protection/>
    </xf>
    <xf numFmtId="0" fontId="52" fillId="0" borderId="0" xfId="87" applyFont="1" applyBorder="1" applyAlignment="1">
      <alignment horizontal="center" vertical="center"/>
      <protection/>
    </xf>
    <xf numFmtId="0" fontId="50" fillId="0" borderId="15" xfId="87" applyFont="1" applyBorder="1" applyAlignment="1">
      <alignment horizontal="center"/>
      <protection/>
    </xf>
    <xf numFmtId="0" fontId="50" fillId="0" borderId="15" xfId="87" applyFont="1" applyBorder="1" applyAlignment="1">
      <alignment wrapText="1"/>
      <protection/>
    </xf>
    <xf numFmtId="0" fontId="50" fillId="10" borderId="15" xfId="87" applyFont="1" applyFill="1" applyBorder="1" applyAlignment="1">
      <alignment horizontal="center" vertical="center"/>
      <protection/>
    </xf>
    <xf numFmtId="0" fontId="52" fillId="10" borderId="15" xfId="87" applyFont="1" applyFill="1" applyBorder="1" applyAlignment="1">
      <alignment vertical="center" wrapText="1"/>
      <protection/>
    </xf>
    <xf numFmtId="3" fontId="52" fillId="10" borderId="15" xfId="87" applyNumberFormat="1" applyFont="1" applyFill="1" applyBorder="1" applyAlignment="1">
      <alignment vertical="center"/>
      <protection/>
    </xf>
    <xf numFmtId="3" fontId="52" fillId="10" borderId="15" xfId="0" applyNumberFormat="1" applyFont="1" applyFill="1" applyBorder="1" applyAlignment="1">
      <alignment vertical="center"/>
    </xf>
    <xf numFmtId="0" fontId="50" fillId="0" borderId="15" xfId="87" applyFont="1" applyBorder="1" applyAlignment="1">
      <alignment horizontal="center" vertical="center"/>
      <protection/>
    </xf>
    <xf numFmtId="0" fontId="50" fillId="0" borderId="15" xfId="87" applyFont="1" applyBorder="1" applyAlignment="1">
      <alignment vertical="center" wrapText="1"/>
      <protection/>
    </xf>
    <xf numFmtId="3" fontId="50" fillId="0" borderId="15" xfId="87" applyNumberFormat="1" applyFont="1" applyBorder="1" applyAlignment="1">
      <alignment vertical="center"/>
      <protection/>
    </xf>
    <xf numFmtId="3" fontId="50" fillId="0" borderId="15" xfId="0" applyNumberFormat="1" applyFont="1" applyBorder="1" applyAlignment="1">
      <alignment vertical="center"/>
    </xf>
    <xf numFmtId="0" fontId="50" fillId="17" borderId="15" xfId="87" applyFont="1" applyFill="1" applyBorder="1" applyAlignment="1">
      <alignment horizontal="center" vertical="center"/>
      <protection/>
    </xf>
    <xf numFmtId="0" fontId="52" fillId="0" borderId="15" xfId="87" applyFont="1" applyBorder="1" applyAlignment="1">
      <alignment vertical="center" wrapText="1"/>
      <protection/>
    </xf>
    <xf numFmtId="3" fontId="52" fillId="0" borderId="15" xfId="87" applyNumberFormat="1" applyFont="1" applyBorder="1" applyAlignment="1">
      <alignment vertical="center"/>
      <protection/>
    </xf>
    <xf numFmtId="3" fontId="52" fillId="0" borderId="15" xfId="0" applyNumberFormat="1" applyFont="1" applyBorder="1" applyAlignment="1">
      <alignment vertical="center"/>
    </xf>
    <xf numFmtId="3" fontId="52" fillId="10" borderId="15" xfId="87" applyNumberFormat="1" applyFont="1" applyFill="1" applyBorder="1" applyAlignment="1">
      <alignment vertical="center" wrapText="1"/>
      <protection/>
    </xf>
    <xf numFmtId="3" fontId="52" fillId="10" borderId="15" xfId="0" applyNumberFormat="1" applyFont="1" applyFill="1" applyBorder="1" applyAlignment="1">
      <alignment vertical="center" wrapText="1"/>
    </xf>
    <xf numFmtId="3" fontId="50" fillId="2" borderId="15" xfId="0" applyNumberFormat="1" applyFont="1" applyFill="1" applyBorder="1" applyAlignment="1">
      <alignment vertical="center"/>
    </xf>
    <xf numFmtId="0" fontId="52" fillId="0" borderId="15" xfId="87" applyFont="1" applyFill="1" applyBorder="1" applyAlignment="1">
      <alignment vertical="center" wrapText="1"/>
      <protection/>
    </xf>
    <xf numFmtId="3" fontId="50" fillId="0" borderId="15" xfId="87" applyNumberFormat="1" applyFont="1" applyFill="1" applyBorder="1" applyAlignment="1">
      <alignment vertical="center"/>
      <protection/>
    </xf>
    <xf numFmtId="3" fontId="50" fillId="0" borderId="15" xfId="0" applyNumberFormat="1" applyFont="1" applyFill="1" applyBorder="1" applyAlignment="1">
      <alignment vertical="center"/>
    </xf>
    <xf numFmtId="0" fontId="50" fillId="0" borderId="15" xfId="87" applyFont="1" applyFill="1" applyBorder="1" applyAlignment="1">
      <alignment vertical="center" wrapText="1"/>
      <protection/>
    </xf>
    <xf numFmtId="3" fontId="50" fillId="0" borderId="15" xfId="87" applyNumberFormat="1" applyFont="1" applyBorder="1" applyAlignment="1">
      <alignment/>
      <protection/>
    </xf>
    <xf numFmtId="167" fontId="52" fillId="10" borderId="15" xfId="87" applyNumberFormat="1" applyFont="1" applyFill="1" applyBorder="1" applyAlignment="1">
      <alignment horizontal="center" vertical="center"/>
      <protection/>
    </xf>
    <xf numFmtId="0" fontId="50" fillId="2" borderId="15" xfId="87" applyFont="1" applyFill="1" applyBorder="1" applyAlignment="1">
      <alignment horizontal="center" vertical="center"/>
      <protection/>
    </xf>
    <xf numFmtId="167" fontId="52" fillId="0" borderId="15" xfId="87" applyNumberFormat="1" applyFont="1" applyFill="1" applyBorder="1" applyAlignment="1">
      <alignment horizontal="center" vertical="center"/>
      <protection/>
    </xf>
    <xf numFmtId="0" fontId="50" fillId="2" borderId="0" xfId="87" applyFont="1" applyFill="1">
      <alignment/>
      <protection/>
    </xf>
    <xf numFmtId="0" fontId="50" fillId="0" borderId="16" xfId="87" applyFont="1" applyFill="1" applyBorder="1" applyAlignment="1">
      <alignment horizontal="center" vertical="center"/>
      <protection/>
    </xf>
    <xf numFmtId="0" fontId="52" fillId="0" borderId="16" xfId="87" applyFont="1" applyFill="1" applyBorder="1" applyAlignment="1">
      <alignment vertical="center" wrapText="1"/>
      <protection/>
    </xf>
    <xf numFmtId="3" fontId="50" fillId="0" borderId="15" xfId="87" applyNumberFormat="1" applyFont="1" applyFill="1" applyBorder="1" applyAlignment="1">
      <alignment horizontal="center" vertical="center"/>
      <protection/>
    </xf>
    <xf numFmtId="3" fontId="50" fillId="0" borderId="15" xfId="0" applyNumberFormat="1" applyFont="1" applyFill="1" applyBorder="1" applyAlignment="1">
      <alignment horizontal="center" vertical="center"/>
    </xf>
    <xf numFmtId="3" fontId="50" fillId="0" borderId="17" xfId="87" applyNumberFormat="1" applyFont="1" applyFill="1" applyBorder="1" applyAlignment="1">
      <alignment horizontal="center" vertical="center"/>
      <protection/>
    </xf>
    <xf numFmtId="3" fontId="50" fillId="0" borderId="15" xfId="87" applyNumberFormat="1" applyFont="1" applyBorder="1">
      <alignment/>
      <protection/>
    </xf>
    <xf numFmtId="0" fontId="50" fillId="0" borderId="18" xfId="87" applyFont="1" applyFill="1" applyBorder="1" applyAlignment="1">
      <alignment horizontal="center" vertical="center"/>
      <protection/>
    </xf>
    <xf numFmtId="0" fontId="52" fillId="0" borderId="18" xfId="87" applyFont="1" applyFill="1" applyBorder="1" applyAlignment="1">
      <alignment vertical="center" wrapText="1"/>
      <protection/>
    </xf>
    <xf numFmtId="0" fontId="52" fillId="10" borderId="19" xfId="87" applyFont="1" applyFill="1" applyBorder="1" applyAlignment="1">
      <alignment vertical="center" wrapText="1"/>
      <protection/>
    </xf>
    <xf numFmtId="0" fontId="52" fillId="10" borderId="20" xfId="87" applyFont="1" applyFill="1" applyBorder="1" applyAlignment="1">
      <alignment vertical="center" wrapText="1"/>
      <protection/>
    </xf>
    <xf numFmtId="4" fontId="50" fillId="10" borderId="15" xfId="87" applyNumberFormat="1" applyFont="1" applyFill="1" applyBorder="1" applyAlignment="1">
      <alignment vertical="center" wrapText="1"/>
      <protection/>
    </xf>
    <xf numFmtId="4" fontId="50" fillId="10" borderId="15" xfId="0" applyNumberFormat="1" applyFont="1" applyFill="1" applyBorder="1" applyAlignment="1">
      <alignment vertical="center" wrapText="1"/>
    </xf>
    <xf numFmtId="4" fontId="50" fillId="0" borderId="17" xfId="87" applyNumberFormat="1" applyFont="1" applyFill="1" applyBorder="1" applyAlignment="1">
      <alignment horizontal="center" vertical="center"/>
      <protection/>
    </xf>
    <xf numFmtId="4" fontId="50" fillId="0" borderId="15" xfId="87" applyNumberFormat="1" applyFont="1" applyBorder="1">
      <alignment/>
      <protection/>
    </xf>
    <xf numFmtId="0" fontId="50" fillId="0" borderId="21" xfId="87" applyFont="1" applyFill="1" applyBorder="1" applyAlignment="1">
      <alignment horizontal="center" vertical="center"/>
      <protection/>
    </xf>
    <xf numFmtId="0" fontId="52" fillId="0" borderId="21" xfId="87" applyFont="1" applyFill="1" applyBorder="1" applyAlignment="1">
      <alignment vertical="center" wrapText="1"/>
      <protection/>
    </xf>
    <xf numFmtId="3" fontId="52" fillId="17" borderId="15" xfId="87" applyNumberFormat="1" applyFont="1" applyFill="1" applyBorder="1" applyAlignment="1">
      <alignment vertical="center"/>
      <protection/>
    </xf>
    <xf numFmtId="3" fontId="52" fillId="17" borderId="15" xfId="0" applyNumberFormat="1" applyFont="1" applyFill="1" applyBorder="1" applyAlignment="1">
      <alignment vertical="center"/>
    </xf>
    <xf numFmtId="0" fontId="50" fillId="17" borderId="0" xfId="87" applyFont="1" applyFill="1">
      <alignment/>
      <protection/>
    </xf>
    <xf numFmtId="0" fontId="50" fillId="0" borderId="15" xfId="87" applyFont="1" applyFill="1" applyBorder="1" applyAlignment="1">
      <alignment horizontal="left" vertical="center" wrapText="1"/>
      <protection/>
    </xf>
    <xf numFmtId="0" fontId="52" fillId="0" borderId="0" xfId="87" applyFont="1">
      <alignment/>
      <protection/>
    </xf>
    <xf numFmtId="0" fontId="66" fillId="0" borderId="0" xfId="87" applyFont="1" applyAlignment="1">
      <alignment horizontal="left" wrapText="1"/>
      <protection/>
    </xf>
    <xf numFmtId="0" fontId="50" fillId="0" borderId="0" xfId="87" applyFont="1" applyAlignment="1">
      <alignment horizontal="left"/>
      <protection/>
    </xf>
    <xf numFmtId="0" fontId="37" fillId="10" borderId="15" xfId="0" applyFont="1" applyFill="1" applyBorder="1" applyAlignment="1">
      <alignment horizontal="right" vertical="center"/>
    </xf>
    <xf numFmtId="49" fontId="37" fillId="2" borderId="0" xfId="0" applyNumberFormat="1" applyFont="1" applyFill="1" applyBorder="1" applyAlignment="1">
      <alignment horizontal="center" vertical="center" wrapText="1"/>
    </xf>
    <xf numFmtId="49" fontId="39" fillId="10" borderId="15" xfId="0" applyNumberFormat="1" applyFont="1" applyFill="1" applyBorder="1" applyAlignment="1">
      <alignment horizontal="center" vertical="center" wrapText="1"/>
    </xf>
    <xf numFmtId="0" fontId="39" fillId="10" borderId="1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5" xfId="0" applyNumberFormat="1" applyFont="1" applyBorder="1" applyAlignment="1">
      <alignment horizontal="center"/>
    </xf>
    <xf numFmtId="3" fontId="39" fillId="0" borderId="15" xfId="0" applyNumberFormat="1" applyFont="1" applyBorder="1" applyAlignment="1">
      <alignment horizontal="center"/>
    </xf>
    <xf numFmtId="0" fontId="47" fillId="2" borderId="0" xfId="87" applyFont="1" applyFill="1" applyBorder="1" applyAlignment="1">
      <alignment horizontal="center"/>
      <protection/>
    </xf>
    <xf numFmtId="0" fontId="50" fillId="0" borderId="0" xfId="87" applyFont="1" applyBorder="1" applyAlignment="1">
      <alignment horizontal="left"/>
      <protection/>
    </xf>
    <xf numFmtId="0" fontId="63" fillId="0" borderId="0" xfId="87" applyFont="1" applyBorder="1" applyAlignment="1">
      <alignment horizontal="left"/>
      <protection/>
    </xf>
    <xf numFmtId="0" fontId="46" fillId="0" borderId="0" xfId="87" applyFont="1" applyBorder="1" applyAlignment="1">
      <alignment horizontal="center" wrapText="1"/>
      <protection/>
    </xf>
    <xf numFmtId="0" fontId="52" fillId="0" borderId="15" xfId="87" applyFont="1" applyBorder="1" applyAlignment="1">
      <alignment horizontal="center" vertical="center"/>
      <protection/>
    </xf>
    <xf numFmtId="0" fontId="50" fillId="0" borderId="15" xfId="87" applyFont="1" applyBorder="1" applyAlignment="1">
      <alignment horizontal="center" vertical="center"/>
      <protection/>
    </xf>
    <xf numFmtId="0" fontId="37" fillId="0" borderId="22" xfId="87" applyFont="1" applyFill="1" applyBorder="1" applyAlignment="1">
      <alignment horizontal="center"/>
      <protection/>
    </xf>
    <xf numFmtId="0" fontId="65" fillId="0" borderId="0" xfId="87" applyFont="1" applyBorder="1" applyAlignment="1">
      <alignment horizontal="center" vertical="center" wrapText="1"/>
      <protection/>
    </xf>
    <xf numFmtId="3" fontId="47" fillId="2" borderId="0" xfId="87" applyNumberFormat="1" applyFont="1" applyFill="1" applyBorder="1" applyAlignment="1">
      <alignment vertical="center" wrapText="1"/>
      <protection/>
    </xf>
    <xf numFmtId="0" fontId="46" fillId="0" borderId="22" xfId="87" applyFont="1" applyFill="1" applyBorder="1" applyAlignment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_Prognoza i kredyty-tabele 2003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%20zal%20budz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wała"/>
      <sheetName val="zał 1"/>
      <sheetName val="zał 2"/>
      <sheetName val="zał 3"/>
      <sheetName val="zał 4"/>
      <sheetName val="zał 5"/>
      <sheetName val="zał 6"/>
      <sheetName val="zał 7"/>
      <sheetName val="zał 8"/>
      <sheetName val="zał 9"/>
      <sheetName val="zał 10"/>
      <sheetName val="zał 11"/>
      <sheetName val="zał 12"/>
      <sheetName val="zał 13"/>
      <sheetName val="zał 14"/>
      <sheetName val="zał 15"/>
      <sheetName val="zał 16"/>
      <sheetName val="zał 17"/>
      <sheetName val="zał 18"/>
      <sheetName val="zał 19"/>
      <sheetName val="zał 20"/>
      <sheetName val="zał 21"/>
      <sheetName val="zał 22"/>
      <sheetName val="zał 23"/>
      <sheetName val="zał 24"/>
      <sheetName val="zał 25"/>
      <sheetName val="zał 26"/>
      <sheetName val="zał 27"/>
      <sheetName val="zał 28"/>
      <sheetName val="zał 29"/>
      <sheetName val="zał 30"/>
      <sheetName val="zał 31"/>
      <sheetName val="zał 32"/>
      <sheetName val="zał 33"/>
    </sheetNames>
    <sheetDataSet>
      <sheetData sheetId="1">
        <row r="17">
          <cell r="C17">
            <v>666000</v>
          </cell>
        </row>
        <row r="20">
          <cell r="C20">
            <v>41489145</v>
          </cell>
        </row>
        <row r="21">
          <cell r="C21">
            <v>3415750</v>
          </cell>
        </row>
      </sheetData>
      <sheetData sheetId="2">
        <row r="14">
          <cell r="E14">
            <v>2328530</v>
          </cell>
        </row>
        <row r="19">
          <cell r="G19">
            <v>1715000</v>
          </cell>
        </row>
        <row r="35">
          <cell r="E35">
            <v>18238279</v>
          </cell>
        </row>
        <row r="72">
          <cell r="E72">
            <v>12998024</v>
          </cell>
        </row>
      </sheetData>
      <sheetData sheetId="3">
        <row r="19">
          <cell r="E19">
            <v>5796800</v>
          </cell>
        </row>
      </sheetData>
      <sheetData sheetId="5">
        <row r="13">
          <cell r="E13">
            <v>1018250</v>
          </cell>
        </row>
      </sheetData>
      <sheetData sheetId="6">
        <row r="26">
          <cell r="C26">
            <v>41316002.535179</v>
          </cell>
        </row>
        <row r="27">
          <cell r="C27">
            <v>15293293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showGridLines="0" defaultGridColor="0" view="pageBreakPreview" zoomScale="80" zoomScaleSheetLayoutView="80" zoomScalePageLayoutView="0" colorId="15" workbookViewId="0" topLeftCell="A11">
      <selection activeCell="H25" activeCellId="1" sqref="O44:T44 H25"/>
    </sheetView>
  </sheetViews>
  <sheetFormatPr defaultColWidth="11.75390625" defaultRowHeight="12.75"/>
  <cols>
    <col min="1" max="1" width="6.75390625" style="1" customWidth="1"/>
    <col min="2" max="2" width="7.375" style="1" customWidth="1"/>
    <col min="3" max="3" width="6.25390625" style="1" customWidth="1"/>
    <col min="4" max="4" width="64.75390625" style="2" customWidth="1"/>
    <col min="5" max="5" width="16.375" style="3" customWidth="1"/>
    <col min="6" max="16384" width="11.75390625" style="1" customWidth="1"/>
  </cols>
  <sheetData>
    <row r="1" spans="1:6" ht="15.75">
      <c r="A1" s="4"/>
      <c r="B1" s="4"/>
      <c r="C1" s="4"/>
      <c r="D1" s="5"/>
      <c r="E1" s="4"/>
      <c r="F1" s="4"/>
    </row>
    <row r="2" spans="1:5" s="7" customFormat="1" ht="15" customHeight="1">
      <c r="A2" s="178" t="s">
        <v>0</v>
      </c>
      <c r="B2" s="178"/>
      <c r="C2" s="178"/>
      <c r="D2" s="178"/>
      <c r="E2" s="178"/>
    </row>
    <row r="3" spans="1:5" s="7" customFormat="1" ht="15.75">
      <c r="A3" s="6"/>
      <c r="B3" s="6"/>
      <c r="C3" s="6"/>
      <c r="D3" s="6"/>
      <c r="E3" s="8" t="s">
        <v>1</v>
      </c>
    </row>
    <row r="4" spans="1:5" s="9" customFormat="1" ht="15" customHeight="1">
      <c r="A4" s="179" t="s">
        <v>2</v>
      </c>
      <c r="B4" s="180" t="s">
        <v>3</v>
      </c>
      <c r="C4" s="180" t="s">
        <v>4</v>
      </c>
      <c r="D4" s="180" t="s">
        <v>5</v>
      </c>
      <c r="E4" s="180" t="s">
        <v>6</v>
      </c>
    </row>
    <row r="5" spans="1:5" s="9" customFormat="1" ht="12.75">
      <c r="A5" s="179"/>
      <c r="B5" s="180"/>
      <c r="C5" s="180"/>
      <c r="D5" s="180"/>
      <c r="E5" s="180"/>
    </row>
    <row r="6" spans="1:5" s="9" customFormat="1" ht="12.75">
      <c r="A6" s="10" t="s">
        <v>7</v>
      </c>
      <c r="B6" s="11">
        <v>2</v>
      </c>
      <c r="C6" s="11">
        <v>3</v>
      </c>
      <c r="D6" s="11">
        <v>4</v>
      </c>
      <c r="E6" s="11">
        <v>5</v>
      </c>
    </row>
    <row r="7" spans="1:5" ht="15.75">
      <c r="A7" s="12">
        <v>400</v>
      </c>
      <c r="B7" s="12"/>
      <c r="C7" s="12"/>
      <c r="D7" s="13" t="s">
        <v>8</v>
      </c>
      <c r="E7" s="14">
        <f>SUM(E8)</f>
        <v>283000</v>
      </c>
    </row>
    <row r="8" spans="1:5" s="7" customFormat="1" ht="15.75">
      <c r="A8" s="15"/>
      <c r="B8" s="15">
        <v>40002</v>
      </c>
      <c r="C8" s="15"/>
      <c r="D8" s="16" t="s">
        <v>9</v>
      </c>
      <c r="E8" s="17">
        <f>SUM(E9)</f>
        <v>283000</v>
      </c>
    </row>
    <row r="9" spans="1:5" ht="15.75">
      <c r="A9" s="15"/>
      <c r="B9" s="18"/>
      <c r="C9" s="18">
        <v>6050</v>
      </c>
      <c r="D9" s="19" t="s">
        <v>10</v>
      </c>
      <c r="E9" s="20">
        <f>SUM(E10:E11)</f>
        <v>283000</v>
      </c>
    </row>
    <row r="10" spans="1:5" ht="15.75">
      <c r="A10" s="15"/>
      <c r="B10" s="18"/>
      <c r="C10" s="18"/>
      <c r="D10" s="19" t="s">
        <v>11</v>
      </c>
      <c r="E10" s="20">
        <v>200000</v>
      </c>
    </row>
    <row r="11" spans="1:5" ht="31.5">
      <c r="A11" s="15"/>
      <c r="B11" s="18"/>
      <c r="C11" s="18"/>
      <c r="D11" s="19" t="s">
        <v>12</v>
      </c>
      <c r="E11" s="20">
        <v>83000</v>
      </c>
    </row>
    <row r="12" spans="1:5" ht="15.75">
      <c r="A12" s="12">
        <v>600</v>
      </c>
      <c r="B12" s="12"/>
      <c r="C12" s="12"/>
      <c r="D12" s="13" t="s">
        <v>13</v>
      </c>
      <c r="E12" s="14">
        <f>E13</f>
        <v>9111295</v>
      </c>
    </row>
    <row r="13" spans="1:5" s="7" customFormat="1" ht="15.75">
      <c r="A13" s="15"/>
      <c r="B13" s="15">
        <v>60016</v>
      </c>
      <c r="C13" s="15"/>
      <c r="D13" s="21" t="s">
        <v>14</v>
      </c>
      <c r="E13" s="17">
        <f>E14+E21+E23+E25</f>
        <v>9111295</v>
      </c>
    </row>
    <row r="14" spans="1:5" ht="15.75">
      <c r="A14" s="15"/>
      <c r="B14" s="18"/>
      <c r="C14" s="18">
        <v>6050</v>
      </c>
      <c r="D14" s="19" t="s">
        <v>15</v>
      </c>
      <c r="E14" s="20">
        <f>SUM(E15:E20)</f>
        <v>4230000</v>
      </c>
    </row>
    <row r="15" spans="1:5" ht="15.75">
      <c r="A15" s="15"/>
      <c r="B15" s="18"/>
      <c r="C15" s="22"/>
      <c r="D15" s="23" t="s">
        <v>16</v>
      </c>
      <c r="E15" s="20">
        <v>100000</v>
      </c>
    </row>
    <row r="16" spans="1:5" ht="15.75">
      <c r="A16" s="15"/>
      <c r="B16" s="18"/>
      <c r="C16" s="22"/>
      <c r="D16" s="19" t="s">
        <v>17</v>
      </c>
      <c r="E16" s="20">
        <v>200000</v>
      </c>
    </row>
    <row r="17" spans="1:5" ht="15.75">
      <c r="A17" s="15"/>
      <c r="B17" s="18"/>
      <c r="C17" s="22"/>
      <c r="D17" s="24" t="s">
        <v>18</v>
      </c>
      <c r="E17" s="20">
        <v>430000</v>
      </c>
    </row>
    <row r="18" spans="1:5" ht="15.75">
      <c r="A18" s="15"/>
      <c r="B18" s="18"/>
      <c r="C18" s="22"/>
      <c r="D18" s="19" t="s">
        <v>19</v>
      </c>
      <c r="E18" s="20">
        <v>1300000</v>
      </c>
    </row>
    <row r="19" spans="1:5" ht="15.75">
      <c r="A19" s="15"/>
      <c r="B19" s="18"/>
      <c r="C19" s="22"/>
      <c r="D19" s="19" t="s">
        <v>20</v>
      </c>
      <c r="E19" s="20">
        <v>300000</v>
      </c>
    </row>
    <row r="20" spans="1:5" ht="15.75">
      <c r="A20" s="15"/>
      <c r="B20" s="18"/>
      <c r="C20" s="22"/>
      <c r="D20" s="19" t="s">
        <v>21</v>
      </c>
      <c r="E20" s="20">
        <v>1900000</v>
      </c>
    </row>
    <row r="21" spans="1:5" ht="47.25">
      <c r="A21" s="15"/>
      <c r="B21" s="18"/>
      <c r="C21" s="22">
        <v>6628</v>
      </c>
      <c r="D21" s="25" t="s">
        <v>22</v>
      </c>
      <c r="E21" s="20">
        <f>E22</f>
        <v>978250</v>
      </c>
    </row>
    <row r="22" spans="1:5" ht="31.5">
      <c r="A22" s="15"/>
      <c r="B22" s="18"/>
      <c r="C22" s="22"/>
      <c r="D22" s="19" t="s">
        <v>23</v>
      </c>
      <c r="E22" s="20">
        <v>978250</v>
      </c>
    </row>
    <row r="23" spans="1:5" ht="47.25">
      <c r="A23" s="15"/>
      <c r="B23" s="18"/>
      <c r="C23" s="22">
        <v>6629</v>
      </c>
      <c r="D23" s="25" t="s">
        <v>22</v>
      </c>
      <c r="E23" s="20">
        <f>E24</f>
        <v>1021750</v>
      </c>
    </row>
    <row r="24" spans="1:5" ht="31.5">
      <c r="A24" s="15"/>
      <c r="B24" s="18"/>
      <c r="C24" s="22"/>
      <c r="D24" s="19" t="s">
        <v>23</v>
      </c>
      <c r="E24" s="20">
        <f>2000000-E22</f>
        <v>1021750</v>
      </c>
    </row>
    <row r="25" spans="1:5" ht="47.25">
      <c r="A25" s="15"/>
      <c r="B25" s="18"/>
      <c r="C25" s="22">
        <v>6630</v>
      </c>
      <c r="D25" s="25" t="s">
        <v>24</v>
      </c>
      <c r="E25" s="26">
        <f>E26</f>
        <v>2881295</v>
      </c>
    </row>
    <row r="26" spans="1:5" ht="15.75">
      <c r="A26" s="15"/>
      <c r="B26" s="18"/>
      <c r="C26" s="22"/>
      <c r="D26" s="19" t="s">
        <v>25</v>
      </c>
      <c r="E26" s="20">
        <v>2881295</v>
      </c>
    </row>
    <row r="27" spans="1:5" ht="15.75">
      <c r="A27" s="12">
        <v>710</v>
      </c>
      <c r="B27" s="12"/>
      <c r="C27" s="12"/>
      <c r="D27" s="13" t="s">
        <v>26</v>
      </c>
      <c r="E27" s="14">
        <f>SUM(E28)</f>
        <v>1140000</v>
      </c>
    </row>
    <row r="28" spans="1:5" s="7" customFormat="1" ht="15.75">
      <c r="A28" s="15"/>
      <c r="B28" s="15">
        <v>71035</v>
      </c>
      <c r="C28" s="15"/>
      <c r="D28" s="21" t="s">
        <v>27</v>
      </c>
      <c r="E28" s="17">
        <f>SUM(E29,E31)</f>
        <v>1140000</v>
      </c>
    </row>
    <row r="29" spans="1:5" ht="15.75">
      <c r="A29" s="15"/>
      <c r="B29" s="18"/>
      <c r="C29" s="18">
        <v>6050</v>
      </c>
      <c r="D29" s="19" t="s">
        <v>28</v>
      </c>
      <c r="E29" s="20">
        <f>SUM(E30:E30)</f>
        <v>1100000</v>
      </c>
    </row>
    <row r="30" spans="1:5" s="7" customFormat="1" ht="15.75">
      <c r="A30" s="15"/>
      <c r="B30" s="22"/>
      <c r="C30" s="22"/>
      <c r="D30" s="19" t="s">
        <v>29</v>
      </c>
      <c r="E30" s="20">
        <v>1100000</v>
      </c>
    </row>
    <row r="31" spans="1:5" ht="15.75">
      <c r="A31" s="15"/>
      <c r="B31" s="22"/>
      <c r="C31" s="18">
        <v>6058</v>
      </c>
      <c r="D31" s="19" t="s">
        <v>28</v>
      </c>
      <c r="E31" s="20">
        <f>E32</f>
        <v>40000</v>
      </c>
    </row>
    <row r="32" spans="1:5" ht="31.5">
      <c r="A32" s="15"/>
      <c r="B32" s="22"/>
      <c r="C32" s="22"/>
      <c r="D32" s="19" t="s">
        <v>30</v>
      </c>
      <c r="E32" s="20">
        <v>40000</v>
      </c>
    </row>
    <row r="33" spans="1:5" ht="31.5">
      <c r="A33" s="12">
        <v>754</v>
      </c>
      <c r="B33" s="12"/>
      <c r="C33" s="12"/>
      <c r="D33" s="13" t="s">
        <v>31</v>
      </c>
      <c r="E33" s="14">
        <f>SUM(E34)</f>
        <v>1300000</v>
      </c>
    </row>
    <row r="34" spans="1:5" ht="15.75">
      <c r="A34" s="15"/>
      <c r="B34" s="15">
        <v>75412</v>
      </c>
      <c r="C34" s="15"/>
      <c r="D34" s="21" t="s">
        <v>32</v>
      </c>
      <c r="E34" s="17">
        <f>SUM(E35)</f>
        <v>1300000</v>
      </c>
    </row>
    <row r="35" spans="1:5" ht="15.75">
      <c r="A35" s="15"/>
      <c r="B35" s="18"/>
      <c r="C35" s="18">
        <v>6050</v>
      </c>
      <c r="D35" s="19" t="s">
        <v>10</v>
      </c>
      <c r="E35" s="20">
        <f>SUM(E36)</f>
        <v>1300000</v>
      </c>
    </row>
    <row r="36" spans="1:5" ht="31.5">
      <c r="A36" s="15"/>
      <c r="B36" s="18"/>
      <c r="C36" s="18"/>
      <c r="D36" s="19" t="s">
        <v>33</v>
      </c>
      <c r="E36" s="20">
        <v>1300000</v>
      </c>
    </row>
    <row r="37" spans="1:5" ht="15.75">
      <c r="A37" s="12">
        <v>801</v>
      </c>
      <c r="B37" s="12"/>
      <c r="C37" s="12"/>
      <c r="D37" s="13" t="s">
        <v>34</v>
      </c>
      <c r="E37" s="14">
        <f>E38+E41+E44</f>
        <v>2105500</v>
      </c>
    </row>
    <row r="38" spans="1:5" ht="15.75">
      <c r="A38" s="27"/>
      <c r="B38" s="27">
        <v>80101</v>
      </c>
      <c r="C38" s="27"/>
      <c r="D38" s="21" t="s">
        <v>35</v>
      </c>
      <c r="E38" s="28">
        <f>E39</f>
        <v>1100000</v>
      </c>
    </row>
    <row r="39" spans="1:5" ht="15.75">
      <c r="A39" s="29"/>
      <c r="B39" s="29"/>
      <c r="C39" s="18">
        <v>6050</v>
      </c>
      <c r="D39" s="19" t="s">
        <v>28</v>
      </c>
      <c r="E39" s="20">
        <f>SUM(E40:E40)</f>
        <v>1100000</v>
      </c>
    </row>
    <row r="40" spans="1:5" ht="15.75">
      <c r="A40" s="29"/>
      <c r="B40" s="29"/>
      <c r="C40" s="30"/>
      <c r="D40" s="19" t="s">
        <v>36</v>
      </c>
      <c r="E40" s="31">
        <v>1100000</v>
      </c>
    </row>
    <row r="41" spans="1:5" s="7" customFormat="1" ht="15.75">
      <c r="A41" s="15"/>
      <c r="B41" s="15">
        <v>80110</v>
      </c>
      <c r="C41" s="15"/>
      <c r="D41" s="21" t="s">
        <v>37</v>
      </c>
      <c r="E41" s="17">
        <f>SUM(E42)</f>
        <v>1000000</v>
      </c>
    </row>
    <row r="42" spans="1:5" ht="15.75">
      <c r="A42" s="15"/>
      <c r="B42" s="18"/>
      <c r="C42" s="18">
        <v>6050</v>
      </c>
      <c r="D42" s="19" t="s">
        <v>28</v>
      </c>
      <c r="E42" s="20">
        <f>SUM(E43:E43)</f>
        <v>1000000</v>
      </c>
    </row>
    <row r="43" spans="1:5" ht="15.75">
      <c r="A43" s="18"/>
      <c r="B43" s="18"/>
      <c r="C43" s="22"/>
      <c r="D43" s="19" t="s">
        <v>38</v>
      </c>
      <c r="E43" s="20">
        <v>1000000</v>
      </c>
    </row>
    <row r="44" spans="1:5" ht="15.75">
      <c r="A44" s="32"/>
      <c r="B44" s="33">
        <v>80148</v>
      </c>
      <c r="C44" s="34"/>
      <c r="D44" s="35" t="s">
        <v>39</v>
      </c>
      <c r="E44" s="36">
        <f>E45</f>
        <v>5500</v>
      </c>
    </row>
    <row r="45" spans="1:5" ht="15.75">
      <c r="A45" s="18"/>
      <c r="B45" s="18"/>
      <c r="C45" s="18">
        <v>6060</v>
      </c>
      <c r="D45" s="19" t="s">
        <v>40</v>
      </c>
      <c r="E45" s="20">
        <f>E46</f>
        <v>5500</v>
      </c>
    </row>
    <row r="46" spans="1:5" ht="15.75">
      <c r="A46" s="18"/>
      <c r="B46" s="18"/>
      <c r="C46" s="18"/>
      <c r="D46" s="19" t="s">
        <v>41</v>
      </c>
      <c r="E46" s="20">
        <v>5500</v>
      </c>
    </row>
    <row r="47" spans="1:5" ht="15.75">
      <c r="A47" s="12">
        <v>900</v>
      </c>
      <c r="B47" s="12"/>
      <c r="C47" s="12"/>
      <c r="D47" s="13" t="s">
        <v>42</v>
      </c>
      <c r="E47" s="14">
        <f>E48+E51+E57+E54</f>
        <v>620434</v>
      </c>
    </row>
    <row r="48" spans="1:5" ht="15.75">
      <c r="A48" s="15"/>
      <c r="B48" s="15">
        <v>90001</v>
      </c>
      <c r="C48" s="15"/>
      <c r="D48" s="21" t="s">
        <v>43</v>
      </c>
      <c r="E48" s="17">
        <f>E49</f>
        <v>75000</v>
      </c>
    </row>
    <row r="49" spans="1:5" s="7" customFormat="1" ht="15.75">
      <c r="A49" s="15"/>
      <c r="B49" s="18"/>
      <c r="C49" s="18">
        <v>6050</v>
      </c>
      <c r="D49" s="19" t="s">
        <v>28</v>
      </c>
      <c r="E49" s="20">
        <f>E50</f>
        <v>75000</v>
      </c>
    </row>
    <row r="50" spans="1:5" ht="31.5">
      <c r="A50" s="15"/>
      <c r="B50" s="18"/>
      <c r="C50" s="18"/>
      <c r="D50" s="19" t="s">
        <v>44</v>
      </c>
      <c r="E50" s="20">
        <v>75000</v>
      </c>
    </row>
    <row r="51" spans="1:5" s="7" customFormat="1" ht="15.75">
      <c r="A51" s="37"/>
      <c r="B51" s="15">
        <v>90004</v>
      </c>
      <c r="C51" s="15"/>
      <c r="D51" s="21" t="s">
        <v>45</v>
      </c>
      <c r="E51" s="17">
        <f>SUM(E52)</f>
        <v>300000</v>
      </c>
    </row>
    <row r="52" spans="1:5" ht="15.75">
      <c r="A52" s="38"/>
      <c r="B52" s="18"/>
      <c r="C52" s="18">
        <v>6050</v>
      </c>
      <c r="D52" s="19" t="s">
        <v>10</v>
      </c>
      <c r="E52" s="20">
        <f>E53</f>
        <v>300000</v>
      </c>
    </row>
    <row r="53" spans="1:5" ht="31.5">
      <c r="A53" s="38"/>
      <c r="B53" s="18"/>
      <c r="C53" s="18"/>
      <c r="D53" s="19" t="s">
        <v>46</v>
      </c>
      <c r="E53" s="20">
        <v>300000</v>
      </c>
    </row>
    <row r="54" spans="1:5" s="7" customFormat="1" ht="15.75">
      <c r="A54" s="37"/>
      <c r="B54" s="15">
        <v>90015</v>
      </c>
      <c r="C54" s="15"/>
      <c r="D54" s="21" t="s">
        <v>47</v>
      </c>
      <c r="E54" s="17">
        <f>SUM(E55)</f>
        <v>240000</v>
      </c>
    </row>
    <row r="55" spans="1:5" s="7" customFormat="1" ht="15.75">
      <c r="A55" s="37"/>
      <c r="B55" s="15"/>
      <c r="C55" s="15">
        <v>6050</v>
      </c>
      <c r="D55" s="19" t="s">
        <v>28</v>
      </c>
      <c r="E55" s="20">
        <f>SUM(E56:E56)</f>
        <v>240000</v>
      </c>
    </row>
    <row r="56" spans="1:5" s="7" customFormat="1" ht="15.75">
      <c r="A56" s="37"/>
      <c r="B56" s="15"/>
      <c r="C56" s="15"/>
      <c r="D56" s="19" t="s">
        <v>48</v>
      </c>
      <c r="E56" s="20">
        <v>240000</v>
      </c>
    </row>
    <row r="57" spans="1:5" ht="15.75">
      <c r="A57" s="15"/>
      <c r="B57" s="15">
        <v>90095</v>
      </c>
      <c r="C57" s="15"/>
      <c r="D57" s="21" t="s">
        <v>49</v>
      </c>
      <c r="E57" s="17">
        <f>SUM(E58)</f>
        <v>5434</v>
      </c>
    </row>
    <row r="58" spans="1:5" ht="15.75">
      <c r="A58" s="18"/>
      <c r="B58" s="18"/>
      <c r="C58" s="18">
        <v>6050</v>
      </c>
      <c r="D58" s="19" t="s">
        <v>28</v>
      </c>
      <c r="E58" s="20">
        <f>E59</f>
        <v>5434</v>
      </c>
    </row>
    <row r="59" spans="1:5" ht="15.75">
      <c r="A59" s="18"/>
      <c r="B59" s="18"/>
      <c r="C59" s="22"/>
      <c r="D59" s="19" t="s">
        <v>50</v>
      </c>
      <c r="E59" s="20">
        <v>5434</v>
      </c>
    </row>
    <row r="60" spans="1:5" ht="15.75">
      <c r="A60" s="12">
        <v>921</v>
      </c>
      <c r="B60" s="12"/>
      <c r="C60" s="12"/>
      <c r="D60" s="13" t="s">
        <v>51</v>
      </c>
      <c r="E60" s="14">
        <f>E61</f>
        <v>30000</v>
      </c>
    </row>
    <row r="61" spans="1:5" ht="15.75">
      <c r="A61" s="39"/>
      <c r="B61" s="39">
        <v>92109</v>
      </c>
      <c r="C61" s="39"/>
      <c r="D61" s="21" t="s">
        <v>52</v>
      </c>
      <c r="E61" s="40">
        <f>E62</f>
        <v>30000</v>
      </c>
    </row>
    <row r="62" spans="1:5" ht="15.75">
      <c r="A62" s="39"/>
      <c r="B62" s="39"/>
      <c r="C62" s="18">
        <v>6050</v>
      </c>
      <c r="D62" s="19" t="s">
        <v>10</v>
      </c>
      <c r="E62" s="20">
        <f>E63</f>
        <v>30000</v>
      </c>
    </row>
    <row r="63" spans="1:5" ht="15.75">
      <c r="A63" s="39"/>
      <c r="B63" s="39"/>
      <c r="C63" s="18"/>
      <c r="D63" s="19" t="s">
        <v>53</v>
      </c>
      <c r="E63" s="20">
        <v>30000</v>
      </c>
    </row>
    <row r="64" spans="1:5" s="7" customFormat="1" ht="15.75">
      <c r="A64" s="12">
        <v>926</v>
      </c>
      <c r="B64" s="12"/>
      <c r="C64" s="12"/>
      <c r="D64" s="13" t="s">
        <v>54</v>
      </c>
      <c r="E64" s="14">
        <f>E65</f>
        <v>93564</v>
      </c>
    </row>
    <row r="65" spans="1:5" ht="15.75">
      <c r="A65" s="15"/>
      <c r="B65" s="15">
        <v>92695</v>
      </c>
      <c r="C65" s="15"/>
      <c r="D65" s="21" t="s">
        <v>49</v>
      </c>
      <c r="E65" s="17">
        <f>E68+E66</f>
        <v>93564</v>
      </c>
    </row>
    <row r="66" spans="1:5" ht="15.75">
      <c r="A66" s="15"/>
      <c r="B66" s="15"/>
      <c r="C66" s="18">
        <v>6050</v>
      </c>
      <c r="D66" s="19" t="s">
        <v>10</v>
      </c>
      <c r="E66" s="17">
        <f>E67</f>
        <v>8564</v>
      </c>
    </row>
    <row r="67" spans="1:5" ht="15.75">
      <c r="A67" s="15"/>
      <c r="B67" s="15"/>
      <c r="C67" s="18"/>
      <c r="D67" s="19" t="s">
        <v>55</v>
      </c>
      <c r="E67" s="20">
        <f>6364+2200</f>
        <v>8564</v>
      </c>
    </row>
    <row r="68" spans="1:5" ht="15.75">
      <c r="A68" s="18"/>
      <c r="B68" s="18"/>
      <c r="C68" s="18">
        <v>6060</v>
      </c>
      <c r="D68" s="19" t="s">
        <v>40</v>
      </c>
      <c r="E68" s="20">
        <f>E69</f>
        <v>85000</v>
      </c>
    </row>
    <row r="69" spans="1:5" ht="15.75">
      <c r="A69" s="18"/>
      <c r="B69" s="18"/>
      <c r="C69" s="18"/>
      <c r="D69" s="19" t="s">
        <v>56</v>
      </c>
      <c r="E69" s="20">
        <v>85000</v>
      </c>
    </row>
    <row r="70" spans="1:5" ht="15" customHeight="1">
      <c r="A70" s="177" t="s">
        <v>57</v>
      </c>
      <c r="B70" s="177"/>
      <c r="C70" s="177"/>
      <c r="D70" s="177"/>
      <c r="E70" s="41">
        <f>SUM(E64,E60,E47,E27,E12,E7,E37,E33)</f>
        <v>14683793</v>
      </c>
    </row>
    <row r="71" ht="15.75">
      <c r="E71" s="42"/>
    </row>
    <row r="72" ht="15.75">
      <c r="E72" s="42"/>
    </row>
    <row r="73" ht="15.75">
      <c r="E73" s="42"/>
    </row>
    <row r="74" ht="15.75">
      <c r="E74" s="42"/>
    </row>
    <row r="75" ht="15.75">
      <c r="E75" s="42"/>
    </row>
    <row r="76" ht="15.75">
      <c r="E76" s="42"/>
    </row>
    <row r="77" ht="15.75">
      <c r="E77" s="42"/>
    </row>
    <row r="78" ht="15.75">
      <c r="E78" s="42"/>
    </row>
    <row r="79" ht="15.75">
      <c r="E79" s="42"/>
    </row>
    <row r="80" ht="15.75">
      <c r="E80" s="42"/>
    </row>
    <row r="81" ht="15.75">
      <c r="E81" s="42"/>
    </row>
    <row r="82" ht="15.75">
      <c r="E82" s="42"/>
    </row>
    <row r="83" ht="15.75">
      <c r="E83" s="42"/>
    </row>
    <row r="84" ht="15.75">
      <c r="E84" s="42"/>
    </row>
    <row r="85" ht="15.75">
      <c r="E85" s="42"/>
    </row>
    <row r="86" ht="15.75">
      <c r="E86" s="42"/>
    </row>
    <row r="87" ht="15.75">
      <c r="E87" s="42"/>
    </row>
    <row r="88" ht="15.75">
      <c r="E88" s="42"/>
    </row>
    <row r="89" ht="15.75">
      <c r="E89" s="42"/>
    </row>
    <row r="90" ht="15.75">
      <c r="E90" s="42"/>
    </row>
    <row r="91" ht="15.75">
      <c r="E91" s="42"/>
    </row>
    <row r="92" ht="15.75">
      <c r="E92" s="42"/>
    </row>
    <row r="93" ht="15.75">
      <c r="E93" s="42"/>
    </row>
    <row r="94" ht="15.75">
      <c r="E94" s="42"/>
    </row>
    <row r="95" ht="15.75">
      <c r="E95" s="42"/>
    </row>
    <row r="96" ht="15.75">
      <c r="E96" s="42"/>
    </row>
    <row r="97" ht="15.75">
      <c r="E97" s="42"/>
    </row>
    <row r="98" ht="15.75">
      <c r="E98" s="42"/>
    </row>
    <row r="99" ht="15.75">
      <c r="E99" s="42"/>
    </row>
    <row r="100" ht="15.75">
      <c r="E100" s="42"/>
    </row>
    <row r="101" ht="15.75">
      <c r="E101" s="42"/>
    </row>
    <row r="102" ht="15.75">
      <c r="E102" s="42"/>
    </row>
    <row r="103" ht="15.75">
      <c r="E103" s="42"/>
    </row>
    <row r="104" ht="15.75">
      <c r="E104" s="42"/>
    </row>
    <row r="105" ht="15.75">
      <c r="E105" s="42"/>
    </row>
    <row r="106" ht="15.75">
      <c r="E106" s="42"/>
    </row>
    <row r="107" ht="15.75">
      <c r="E107" s="42"/>
    </row>
    <row r="108" ht="15.75">
      <c r="E108" s="42"/>
    </row>
    <row r="109" ht="15.75">
      <c r="E109" s="42"/>
    </row>
    <row r="110" ht="15.75">
      <c r="E110" s="42"/>
    </row>
    <row r="111" ht="15.75">
      <c r="E111" s="42"/>
    </row>
    <row r="112" ht="15.75">
      <c r="E112" s="42"/>
    </row>
    <row r="113" ht="15.75">
      <c r="E113" s="42"/>
    </row>
    <row r="114" ht="15.75">
      <c r="E114" s="42"/>
    </row>
    <row r="115" ht="15.75">
      <c r="E115" s="42"/>
    </row>
    <row r="116" ht="15.75">
      <c r="E116" s="42"/>
    </row>
    <row r="117" ht="15.75">
      <c r="E117" s="42"/>
    </row>
    <row r="118" ht="15.75">
      <c r="E118" s="42"/>
    </row>
    <row r="119" ht="15.75">
      <c r="E119" s="42"/>
    </row>
    <row r="120" ht="15.75">
      <c r="E120" s="42"/>
    </row>
    <row r="121" ht="15.75">
      <c r="E121" s="42"/>
    </row>
    <row r="122" ht="15.75">
      <c r="E122" s="42"/>
    </row>
    <row r="123" ht="15.75">
      <c r="E123" s="42"/>
    </row>
    <row r="124" ht="15.75">
      <c r="E124" s="42"/>
    </row>
    <row r="125" ht="15.75">
      <c r="E125" s="42"/>
    </row>
    <row r="126" ht="15.75">
      <c r="E126" s="42"/>
    </row>
    <row r="127" ht="15.75">
      <c r="E127" s="42"/>
    </row>
    <row r="128" ht="15.75">
      <c r="E128" s="42"/>
    </row>
    <row r="129" ht="15.75">
      <c r="E129" s="42"/>
    </row>
    <row r="130" ht="15.75">
      <c r="E130" s="42"/>
    </row>
    <row r="131" ht="15.75">
      <c r="E131" s="42"/>
    </row>
    <row r="132" ht="15.75">
      <c r="E132" s="42"/>
    </row>
    <row r="133" ht="15.75">
      <c r="E133" s="42"/>
    </row>
    <row r="134" ht="15.75">
      <c r="E134" s="42"/>
    </row>
    <row r="135" ht="15.75">
      <c r="E135" s="42"/>
    </row>
    <row r="136" ht="15.75">
      <c r="E136" s="42"/>
    </row>
    <row r="137" ht="15.75">
      <c r="E137" s="42"/>
    </row>
    <row r="138" ht="15.75">
      <c r="E138" s="42"/>
    </row>
    <row r="139" ht="15.75">
      <c r="E139" s="42"/>
    </row>
    <row r="140" ht="15.75">
      <c r="E140" s="42"/>
    </row>
    <row r="141" ht="15.75">
      <c r="E141" s="42"/>
    </row>
    <row r="142" ht="15.75">
      <c r="E142" s="42"/>
    </row>
    <row r="143" ht="15.75">
      <c r="E143" s="42"/>
    </row>
    <row r="144" ht="15.75">
      <c r="E144" s="42"/>
    </row>
    <row r="145" ht="15.75">
      <c r="E145" s="42"/>
    </row>
    <row r="146" ht="15.75">
      <c r="E146" s="42"/>
    </row>
    <row r="147" ht="15.75">
      <c r="E147" s="42"/>
    </row>
    <row r="148" ht="15.75">
      <c r="E148" s="42"/>
    </row>
    <row r="149" ht="15.75">
      <c r="E149" s="42"/>
    </row>
    <row r="150" ht="15.75">
      <c r="E150" s="42"/>
    </row>
    <row r="151" ht="15.75">
      <c r="E151" s="42"/>
    </row>
    <row r="152" ht="15.75">
      <c r="E152" s="42"/>
    </row>
    <row r="153" ht="15.75">
      <c r="E153" s="42"/>
    </row>
    <row r="154" ht="15.75">
      <c r="E154" s="42"/>
    </row>
    <row r="155" ht="15.75">
      <c r="E155" s="42"/>
    </row>
    <row r="156" ht="15.75">
      <c r="E156" s="42"/>
    </row>
    <row r="157" ht="15.75">
      <c r="E157" s="42"/>
    </row>
    <row r="158" ht="15.75">
      <c r="E158" s="42"/>
    </row>
    <row r="159" ht="15.75">
      <c r="E159" s="42"/>
    </row>
    <row r="160" ht="15.75">
      <c r="E160" s="42"/>
    </row>
    <row r="161" ht="15.75">
      <c r="E161" s="42"/>
    </row>
    <row r="162" ht="15.75">
      <c r="E162" s="42"/>
    </row>
    <row r="163" ht="15.75">
      <c r="E163" s="42"/>
    </row>
    <row r="164" ht="15.75">
      <c r="E164" s="42"/>
    </row>
    <row r="165" ht="15.75">
      <c r="E165" s="42"/>
    </row>
    <row r="166" ht="15.75">
      <c r="E166" s="42"/>
    </row>
    <row r="167" ht="15.75">
      <c r="E167" s="42"/>
    </row>
    <row r="168" ht="15.75">
      <c r="E168" s="42"/>
    </row>
    <row r="169" ht="15.75">
      <c r="E169" s="42"/>
    </row>
    <row r="170" ht="15.75">
      <c r="E170" s="42"/>
    </row>
    <row r="171" ht="15.75">
      <c r="E171" s="42"/>
    </row>
    <row r="172" ht="15.75">
      <c r="E172" s="42"/>
    </row>
    <row r="173" ht="15.75">
      <c r="E173" s="42"/>
    </row>
    <row r="174" ht="15.75">
      <c r="E174" s="42"/>
    </row>
    <row r="175" ht="15.75">
      <c r="E175" s="42"/>
    </row>
    <row r="176" ht="15.75">
      <c r="E176" s="42"/>
    </row>
    <row r="177" ht="15.75">
      <c r="E177" s="42"/>
    </row>
    <row r="178" ht="15.75">
      <c r="E178" s="42"/>
    </row>
    <row r="179" ht="15.75">
      <c r="E179" s="42"/>
    </row>
    <row r="180" ht="15.75">
      <c r="E180" s="42"/>
    </row>
    <row r="181" ht="15.75">
      <c r="E181" s="42"/>
    </row>
    <row r="182" ht="15.75">
      <c r="E182" s="42"/>
    </row>
    <row r="183" ht="15.75">
      <c r="E183" s="42"/>
    </row>
    <row r="184" ht="15.75">
      <c r="E184" s="42"/>
    </row>
    <row r="185" ht="15.75">
      <c r="E185" s="42"/>
    </row>
    <row r="186" ht="15.75">
      <c r="E186" s="42"/>
    </row>
    <row r="187" ht="15.75">
      <c r="E187" s="42"/>
    </row>
    <row r="188" ht="15.75">
      <c r="E188" s="42"/>
    </row>
    <row r="189" ht="15.75">
      <c r="E189" s="42"/>
    </row>
    <row r="190" ht="15.75">
      <c r="E190" s="42"/>
    </row>
    <row r="191" ht="15.75">
      <c r="E191" s="42"/>
    </row>
    <row r="192" ht="15.75">
      <c r="E192" s="42"/>
    </row>
    <row r="193" ht="15.75">
      <c r="E193" s="42"/>
    </row>
    <row r="194" ht="15.75">
      <c r="E194" s="42"/>
    </row>
    <row r="195" ht="15.75">
      <c r="E195" s="42"/>
    </row>
    <row r="196" ht="15.75">
      <c r="E196" s="42"/>
    </row>
    <row r="197" ht="15.75">
      <c r="E197" s="42"/>
    </row>
    <row r="198" ht="15.75">
      <c r="E198" s="42"/>
    </row>
  </sheetData>
  <sheetProtection/>
  <mergeCells count="7">
    <mergeCell ref="A70:D70"/>
    <mergeCell ref="A2:E2"/>
    <mergeCell ref="A4:A5"/>
    <mergeCell ref="B4:B5"/>
    <mergeCell ref="C4:C5"/>
    <mergeCell ref="D4:D5"/>
    <mergeCell ref="E4:E5"/>
  </mergeCells>
  <printOptions/>
  <pageMargins left="0.7875" right="0.7875" top="0.7875" bottom="0.7875" header="0.5118055555555555" footer="0.5118055555555555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3"/>
  <sheetViews>
    <sheetView showGridLines="0" defaultGridColor="0" view="pageBreakPreview" zoomScale="80" zoomScaleSheetLayoutView="80" zoomScalePageLayoutView="0" colorId="15" workbookViewId="0" topLeftCell="A1">
      <selection activeCell="D9" activeCellId="1" sqref="O44:T44 D9"/>
    </sheetView>
  </sheetViews>
  <sheetFormatPr defaultColWidth="9.00390625" defaultRowHeight="12.75"/>
  <cols>
    <col min="1" max="1" width="3.875" style="118" customWidth="1"/>
    <col min="2" max="2" width="20.375" style="119" customWidth="1"/>
    <col min="3" max="3" width="9.375" style="120" customWidth="1"/>
    <col min="4" max="4" width="9.00390625" style="120" customWidth="1"/>
    <col min="5" max="5" width="9.375" style="120" customWidth="1"/>
    <col min="6" max="7" width="9.625" style="120" customWidth="1"/>
    <col min="8" max="9" width="9.00390625" style="120" customWidth="1"/>
    <col min="10" max="10" width="9.625" style="120" customWidth="1"/>
    <col min="11" max="11" width="9.25390625" style="120" customWidth="1"/>
    <col min="12" max="20" width="9.625" style="120" customWidth="1"/>
    <col min="21" max="21" width="13.00390625" style="120" customWidth="1"/>
    <col min="22" max="16384" width="9.125" style="120" customWidth="1"/>
  </cols>
  <sheetData>
    <row r="1" ht="11.25">
      <c r="B1" s="121" t="s">
        <v>195</v>
      </c>
    </row>
    <row r="2" spans="1:20" s="118" customFormat="1" ht="14.25" customHeight="1">
      <c r="A2" s="189" t="s">
        <v>116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1.25">
      <c r="B3" s="122"/>
      <c r="C3" s="122"/>
      <c r="E3" s="123"/>
      <c r="L3" s="123" t="s">
        <v>117</v>
      </c>
      <c r="M3" s="123"/>
      <c r="N3" s="123"/>
      <c r="O3" s="123"/>
      <c r="P3" s="123"/>
      <c r="Q3" s="123"/>
      <c r="R3" s="123"/>
      <c r="S3" s="123"/>
      <c r="T3" s="123"/>
    </row>
    <row r="4" spans="1:21" ht="10.5" customHeight="1">
      <c r="A4" s="124" t="s">
        <v>118</v>
      </c>
      <c r="B4" s="125" t="s">
        <v>119</v>
      </c>
      <c r="C4" s="190" t="s">
        <v>120</v>
      </c>
      <c r="D4" s="190"/>
      <c r="E4" s="190"/>
      <c r="F4" s="190" t="s">
        <v>121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27"/>
    </row>
    <row r="5" spans="1:20" ht="11.25">
      <c r="A5" s="128"/>
      <c r="B5" s="129"/>
      <c r="C5" s="126" t="s">
        <v>122</v>
      </c>
      <c r="D5" s="126" t="s">
        <v>123</v>
      </c>
      <c r="E5" s="126" t="s">
        <v>193</v>
      </c>
      <c r="F5" s="126" t="s">
        <v>100</v>
      </c>
      <c r="G5" s="126">
        <v>2011</v>
      </c>
      <c r="H5" s="126">
        <v>2012</v>
      </c>
      <c r="I5" s="126">
        <v>2013</v>
      </c>
      <c r="J5" s="126">
        <v>2014</v>
      </c>
      <c r="K5" s="126">
        <v>2015</v>
      </c>
      <c r="L5" s="126">
        <v>2016</v>
      </c>
      <c r="M5" s="126">
        <v>2017</v>
      </c>
      <c r="N5" s="126">
        <v>2018</v>
      </c>
      <c r="O5" s="126">
        <v>2019</v>
      </c>
      <c r="P5" s="126">
        <v>2020</v>
      </c>
      <c r="Q5" s="126">
        <v>2021</v>
      </c>
      <c r="R5" s="126">
        <v>2022</v>
      </c>
      <c r="S5" s="126">
        <v>2023</v>
      </c>
      <c r="T5" s="126">
        <v>2024</v>
      </c>
    </row>
    <row r="6" spans="1:20" ht="25.5">
      <c r="A6" s="130">
        <v>1</v>
      </c>
      <c r="B6" s="131" t="s">
        <v>124</v>
      </c>
      <c r="C6" s="132">
        <f aca="true" t="shared" si="0" ref="C6:T6">C7+C8</f>
        <v>39513784</v>
      </c>
      <c r="D6" s="132">
        <f t="shared" si="0"/>
        <v>40781807</v>
      </c>
      <c r="E6" s="133">
        <f t="shared" si="0"/>
        <v>30557334</v>
      </c>
      <c r="F6" s="133">
        <f t="shared" si="0"/>
        <v>41489145</v>
      </c>
      <c r="G6" s="133">
        <f t="shared" si="0"/>
        <v>46776315.075</v>
      </c>
      <c r="H6" s="133">
        <f t="shared" si="0"/>
        <v>48683133.693075</v>
      </c>
      <c r="I6" s="133">
        <f t="shared" si="0"/>
        <v>48349057.83733262</v>
      </c>
      <c r="J6" s="133">
        <f t="shared" si="0"/>
        <v>49538506.62425344</v>
      </c>
      <c r="K6" s="133">
        <f t="shared" si="0"/>
        <v>51081584.22361724</v>
      </c>
      <c r="L6" s="133">
        <f t="shared" si="0"/>
        <v>51035807.9869715</v>
      </c>
      <c r="M6" s="133">
        <f t="shared" si="0"/>
        <v>51801345.10677607</v>
      </c>
      <c r="N6" s="133">
        <f t="shared" si="0"/>
        <v>52578365.283377714</v>
      </c>
      <c r="O6" s="133">
        <f t="shared" si="0"/>
        <v>53367040.76262838</v>
      </c>
      <c r="P6" s="133">
        <f t="shared" si="0"/>
        <v>54167546.374067806</v>
      </c>
      <c r="Q6" s="133">
        <f t="shared" si="0"/>
        <v>54980059.56967882</v>
      </c>
      <c r="R6" s="133">
        <f t="shared" si="0"/>
        <v>55804760.46322401</v>
      </c>
      <c r="S6" s="133">
        <f t="shared" si="0"/>
        <v>56641831.87017237</v>
      </c>
      <c r="T6" s="133">
        <f t="shared" si="0"/>
        <v>57491459.34822495</v>
      </c>
    </row>
    <row r="7" spans="1:20" ht="11.25">
      <c r="A7" s="134">
        <v>2</v>
      </c>
      <c r="B7" s="135" t="s">
        <v>125</v>
      </c>
      <c r="C7" s="136">
        <f>37247802+515784+17198</f>
        <v>37780784</v>
      </c>
      <c r="D7" s="136">
        <f>35488119+3020981+266707</f>
        <v>38775807</v>
      </c>
      <c r="E7" s="136">
        <f>30557334-E8</f>
        <v>30107354</v>
      </c>
      <c r="F7" s="136">
        <f>'[1]zał 1'!C20</f>
        <v>41489145</v>
      </c>
      <c r="G7" s="136">
        <f>F7*0.035+F7+2000000</f>
        <v>44941265.075</v>
      </c>
      <c r="H7" s="136">
        <f>G7*0.041+G7</f>
        <v>46783856.943075</v>
      </c>
      <c r="I7" s="136">
        <f>H7*0.035+H7-2000000</f>
        <v>46421291.936082624</v>
      </c>
      <c r="J7" s="136">
        <f>I7*0.025+I7</f>
        <v>47581824.23448469</v>
      </c>
      <c r="K7" s="136">
        <f aca="true" t="shared" si="1" ref="K7:T7">J7*0.015+J7</f>
        <v>48295551.59800196</v>
      </c>
      <c r="L7" s="136">
        <f t="shared" si="1"/>
        <v>49019984.87197199</v>
      </c>
      <c r="M7" s="136">
        <f t="shared" si="1"/>
        <v>49755284.64505157</v>
      </c>
      <c r="N7" s="136">
        <f t="shared" si="1"/>
        <v>50501613.914727345</v>
      </c>
      <c r="O7" s="136">
        <f t="shared" si="1"/>
        <v>51259138.12344825</v>
      </c>
      <c r="P7" s="136">
        <f t="shared" si="1"/>
        <v>52028025.195299976</v>
      </c>
      <c r="Q7" s="136">
        <f t="shared" si="1"/>
        <v>52808445.57322948</v>
      </c>
      <c r="R7" s="136">
        <f t="shared" si="1"/>
        <v>53600572.25682792</v>
      </c>
      <c r="S7" s="136">
        <f t="shared" si="1"/>
        <v>54404580.84068034</v>
      </c>
      <c r="T7" s="136">
        <f t="shared" si="1"/>
        <v>55220649.553290546</v>
      </c>
    </row>
    <row r="8" spans="1:20" ht="11.25">
      <c r="A8" s="134">
        <v>3</v>
      </c>
      <c r="B8" s="135" t="s">
        <v>126</v>
      </c>
      <c r="C8" s="137">
        <f>C9</f>
        <v>1733000</v>
      </c>
      <c r="D8" s="136">
        <f>D9</f>
        <v>2006000</v>
      </c>
      <c r="E8" s="136">
        <f>E9+55646</f>
        <v>449980</v>
      </c>
      <c r="F8" s="136">
        <f>'[1]zał 2'!G119</f>
        <v>0</v>
      </c>
      <c r="G8" s="137">
        <f>G9</f>
        <v>1835050</v>
      </c>
      <c r="H8" s="137">
        <f>H9</f>
        <v>1899276.75</v>
      </c>
      <c r="I8" s="137">
        <f>I9</f>
        <v>1927765.90125</v>
      </c>
      <c r="J8" s="137">
        <f>J9</f>
        <v>1956682.3897687502</v>
      </c>
      <c r="K8" s="137">
        <f>K9+800000</f>
        <v>2786032.6256152815</v>
      </c>
      <c r="L8" s="137">
        <f aca="true" t="shared" si="2" ref="L8:T8">L9</f>
        <v>2015823.1149995108</v>
      </c>
      <c r="M8" s="137">
        <f t="shared" si="2"/>
        <v>2046060.4617245034</v>
      </c>
      <c r="N8" s="137">
        <f t="shared" si="2"/>
        <v>2076751.368650371</v>
      </c>
      <c r="O8" s="137">
        <f t="shared" si="2"/>
        <v>2107902.6391801266</v>
      </c>
      <c r="P8" s="137">
        <f t="shared" si="2"/>
        <v>2139521.1787678283</v>
      </c>
      <c r="Q8" s="137">
        <f t="shared" si="2"/>
        <v>2171613.9964493457</v>
      </c>
      <c r="R8" s="137">
        <f t="shared" si="2"/>
        <v>2204188.206396086</v>
      </c>
      <c r="S8" s="137">
        <f t="shared" si="2"/>
        <v>2237251.0294920276</v>
      </c>
      <c r="T8" s="137">
        <f t="shared" si="2"/>
        <v>2270809.794934408</v>
      </c>
    </row>
    <row r="9" spans="1:20" ht="22.5">
      <c r="A9" s="134">
        <v>4</v>
      </c>
      <c r="B9" s="135" t="s">
        <v>127</v>
      </c>
      <c r="C9" s="137">
        <v>1733000</v>
      </c>
      <c r="D9" s="136">
        <f>356000+50000+1600000</f>
        <v>2006000</v>
      </c>
      <c r="E9" s="136">
        <v>394334</v>
      </c>
      <c r="F9" s="136">
        <f>'[1]zał 2'!G19</f>
        <v>1715000</v>
      </c>
      <c r="G9" s="136">
        <f>F9*0.07+F9</f>
        <v>1835050</v>
      </c>
      <c r="H9" s="136">
        <f>G9*0.035+G9</f>
        <v>1899276.75</v>
      </c>
      <c r="I9" s="137">
        <f aca="true" t="shared" si="3" ref="I9:T9">H9*0.015+H9</f>
        <v>1927765.90125</v>
      </c>
      <c r="J9" s="137">
        <f t="shared" si="3"/>
        <v>1956682.3897687502</v>
      </c>
      <c r="K9" s="137">
        <f t="shared" si="3"/>
        <v>1986032.6256152815</v>
      </c>
      <c r="L9" s="137">
        <f t="shared" si="3"/>
        <v>2015823.1149995108</v>
      </c>
      <c r="M9" s="137">
        <f t="shared" si="3"/>
        <v>2046060.4617245034</v>
      </c>
      <c r="N9" s="137">
        <f t="shared" si="3"/>
        <v>2076751.368650371</v>
      </c>
      <c r="O9" s="137">
        <f t="shared" si="3"/>
        <v>2107902.6391801266</v>
      </c>
      <c r="P9" s="137">
        <f t="shared" si="3"/>
        <v>2139521.1787678283</v>
      </c>
      <c r="Q9" s="137">
        <f t="shared" si="3"/>
        <v>2171613.9964493457</v>
      </c>
      <c r="R9" s="137">
        <f t="shared" si="3"/>
        <v>2204188.206396086</v>
      </c>
      <c r="S9" s="137">
        <f t="shared" si="3"/>
        <v>2237251.0294920276</v>
      </c>
      <c r="T9" s="137">
        <f t="shared" si="3"/>
        <v>2270809.794934408</v>
      </c>
    </row>
    <row r="10" spans="1:20" s="172" customFormat="1" ht="12.75">
      <c r="A10" s="138">
        <v>5</v>
      </c>
      <c r="B10" s="131" t="s">
        <v>128</v>
      </c>
      <c r="C10" s="170">
        <f aca="true" t="shared" si="4" ref="C10:T10">C11+C12</f>
        <v>36475335</v>
      </c>
      <c r="D10" s="170">
        <f t="shared" si="4"/>
        <v>40722987</v>
      </c>
      <c r="E10" s="132">
        <f t="shared" si="4"/>
        <v>33429396</v>
      </c>
      <c r="F10" s="171">
        <f t="shared" si="4"/>
        <v>15293293</v>
      </c>
      <c r="G10" s="171">
        <f t="shared" si="4"/>
        <v>19022692.395</v>
      </c>
      <c r="H10" s="171">
        <f t="shared" si="4"/>
        <v>19360532.780925</v>
      </c>
      <c r="I10" s="171">
        <f t="shared" si="4"/>
        <v>18649421.100448124</v>
      </c>
      <c r="J10" s="171">
        <f t="shared" si="4"/>
        <v>18672409.52245709</v>
      </c>
      <c r="K10" s="171">
        <f t="shared" si="4"/>
        <v>18868912.893861316</v>
      </c>
      <c r="L10" s="171">
        <f t="shared" si="4"/>
        <v>19498135.71620785</v>
      </c>
      <c r="M10" s="171">
        <f t="shared" si="4"/>
        <v>20158839.10911305</v>
      </c>
      <c r="N10" s="171">
        <f t="shared" si="4"/>
        <v>20853385.086840875</v>
      </c>
      <c r="O10" s="171">
        <f t="shared" si="4"/>
        <v>21084352.214011896</v>
      </c>
      <c r="P10" s="171">
        <f t="shared" si="4"/>
        <v>21342056.769362193</v>
      </c>
      <c r="Q10" s="171">
        <f t="shared" si="4"/>
        <v>21308063.513596248</v>
      </c>
      <c r="R10" s="171">
        <f t="shared" si="4"/>
        <v>21269695.958936155</v>
      </c>
      <c r="S10" s="171">
        <f t="shared" si="4"/>
        <v>20546315.119159557</v>
      </c>
      <c r="T10" s="171">
        <f t="shared" si="4"/>
        <v>19528607.154663548</v>
      </c>
    </row>
    <row r="11" spans="1:20" ht="11.25">
      <c r="A11" s="134">
        <v>6</v>
      </c>
      <c r="B11" s="135" t="s">
        <v>129</v>
      </c>
      <c r="C11" s="137">
        <v>32783361</v>
      </c>
      <c r="D11" s="136">
        <v>35629630</v>
      </c>
      <c r="E11" s="136">
        <v>27413409</v>
      </c>
      <c r="F11" s="136">
        <f>'[1]zał 6'!C27</f>
        <v>15293293</v>
      </c>
      <c r="G11" s="136">
        <f>F11*0.015+F11</f>
        <v>15522692.395</v>
      </c>
      <c r="H11" s="137">
        <f>G11*0.015+G11</f>
        <v>15755532.780925</v>
      </c>
      <c r="I11" s="137">
        <f>H11*0.025+H11</f>
        <v>16149421.100448126</v>
      </c>
      <c r="J11" s="137">
        <f>I11*0.02+I11</f>
        <v>16472409.52245709</v>
      </c>
      <c r="K11" s="137">
        <f>J11*0.018+J11</f>
        <v>16768912.893861316</v>
      </c>
      <c r="L11" s="137">
        <f>K11*0.025+K11</f>
        <v>17188135.71620785</v>
      </c>
      <c r="M11" s="137">
        <f>L11*0.025+L11</f>
        <v>17617839.10911305</v>
      </c>
      <c r="N11" s="137">
        <f>M11*0.025+M11</f>
        <v>18058285.086840875</v>
      </c>
      <c r="O11" s="137">
        <f>N11*0.025+N11-500000</f>
        <v>18009742.214011896</v>
      </c>
      <c r="P11" s="137">
        <f>O11*0.025+O11-500000</f>
        <v>17959985.769362193</v>
      </c>
      <c r="Q11" s="137">
        <f>P11*0.025+P11-820000</f>
        <v>17588985.413596246</v>
      </c>
      <c r="R11" s="137">
        <f>Q11*0.025+Q11</f>
        <v>18028710.04893615</v>
      </c>
      <c r="S11" s="137">
        <f>R11*0.025+R11-850000</f>
        <v>17629427.800159555</v>
      </c>
      <c r="T11" s="137">
        <f>S11*0.025+S11</f>
        <v>18070163.495163545</v>
      </c>
    </row>
    <row r="12" spans="1:20" ht="11.25">
      <c r="A12" s="134">
        <v>7</v>
      </c>
      <c r="B12" s="135" t="s">
        <v>130</v>
      </c>
      <c r="C12" s="137">
        <v>3691974</v>
      </c>
      <c r="D12" s="136">
        <v>5093357</v>
      </c>
      <c r="E12" s="136">
        <f>6015987</f>
        <v>6015987</v>
      </c>
      <c r="F12" s="136">
        <f>'[1]zał 6'!C28</f>
        <v>0</v>
      </c>
      <c r="G12" s="136">
        <v>3500000</v>
      </c>
      <c r="H12" s="136">
        <f>G12*0.03+G12</f>
        <v>3605000</v>
      </c>
      <c r="I12" s="136">
        <v>2500000</v>
      </c>
      <c r="J12" s="137">
        <v>2200000</v>
      </c>
      <c r="K12" s="137">
        <v>2100000</v>
      </c>
      <c r="L12" s="137">
        <f>K12*1.1</f>
        <v>2310000</v>
      </c>
      <c r="M12" s="137">
        <f>L12*1.1</f>
        <v>2541000</v>
      </c>
      <c r="N12" s="137">
        <f>M12*1.1</f>
        <v>2795100</v>
      </c>
      <c r="O12" s="137">
        <f>N12*1.1</f>
        <v>3074610.0000000005</v>
      </c>
      <c r="P12" s="137">
        <f>O12*1.1</f>
        <v>3382071.000000001</v>
      </c>
      <c r="Q12" s="137">
        <f>P12*1.1-1200</f>
        <v>3719078.1000000015</v>
      </c>
      <c r="R12" s="137">
        <f>Q12*1.1-850000</f>
        <v>3240985.910000002</v>
      </c>
      <c r="S12" s="137">
        <f>R12*0.9</f>
        <v>2916887.319000002</v>
      </c>
      <c r="T12" s="137">
        <f>S12*0.5</f>
        <v>1458443.659500001</v>
      </c>
    </row>
    <row r="13" spans="1:20" ht="21">
      <c r="A13" s="134">
        <v>8</v>
      </c>
      <c r="B13" s="139" t="s">
        <v>131</v>
      </c>
      <c r="C13" s="140">
        <f aca="true" t="shared" si="5" ref="C13:T13">C6-C10</f>
        <v>3038449</v>
      </c>
      <c r="D13" s="140">
        <f t="shared" si="5"/>
        <v>58820</v>
      </c>
      <c r="E13" s="141">
        <f t="shared" si="5"/>
        <v>-2872062</v>
      </c>
      <c r="F13" s="141">
        <f t="shared" si="5"/>
        <v>26195852</v>
      </c>
      <c r="G13" s="141">
        <f t="shared" si="5"/>
        <v>27753622.680000003</v>
      </c>
      <c r="H13" s="141">
        <f t="shared" si="5"/>
        <v>29322600.912150003</v>
      </c>
      <c r="I13" s="141">
        <f t="shared" si="5"/>
        <v>29699636.736884497</v>
      </c>
      <c r="J13" s="141">
        <f t="shared" si="5"/>
        <v>30866097.101796348</v>
      </c>
      <c r="K13" s="141">
        <f t="shared" si="5"/>
        <v>32212671.329755925</v>
      </c>
      <c r="L13" s="141">
        <f t="shared" si="5"/>
        <v>31537672.270763647</v>
      </c>
      <c r="M13" s="141">
        <f t="shared" si="5"/>
        <v>31642505.997663025</v>
      </c>
      <c r="N13" s="141">
        <f t="shared" si="5"/>
        <v>31724980.19653684</v>
      </c>
      <c r="O13" s="141">
        <f t="shared" si="5"/>
        <v>32282688.54861648</v>
      </c>
      <c r="P13" s="141">
        <f t="shared" si="5"/>
        <v>32825489.604705613</v>
      </c>
      <c r="Q13" s="141">
        <f t="shared" si="5"/>
        <v>33671996.05608258</v>
      </c>
      <c r="R13" s="141">
        <f t="shared" si="5"/>
        <v>34535064.504287854</v>
      </c>
      <c r="S13" s="141">
        <f t="shared" si="5"/>
        <v>36095516.75101281</v>
      </c>
      <c r="T13" s="141">
        <f t="shared" si="5"/>
        <v>37962852.193561405</v>
      </c>
    </row>
    <row r="14" spans="1:20" ht="21">
      <c r="A14" s="134">
        <v>9</v>
      </c>
      <c r="B14" s="139" t="s">
        <v>132</v>
      </c>
      <c r="C14" s="141">
        <f aca="true" t="shared" si="6" ref="C14:T14">C15-C28</f>
        <v>-2507196</v>
      </c>
      <c r="D14" s="141">
        <f t="shared" si="6"/>
        <v>-231406.56000000006</v>
      </c>
      <c r="E14" s="141">
        <f t="shared" si="6"/>
        <v>6273217</v>
      </c>
      <c r="F14" s="141">
        <f t="shared" si="6"/>
        <v>-26195852</v>
      </c>
      <c r="G14" s="141">
        <f t="shared" si="6"/>
        <v>-27753622.680000003</v>
      </c>
      <c r="H14" s="141">
        <f t="shared" si="6"/>
        <v>-3152893.567321461</v>
      </c>
      <c r="I14" s="141">
        <f t="shared" si="6"/>
        <v>23016813.77750708</v>
      </c>
      <c r="J14" s="141">
        <f t="shared" si="6"/>
        <v>-3131893.567321461</v>
      </c>
      <c r="K14" s="141">
        <f t="shared" si="6"/>
        <v>25181309.967153426</v>
      </c>
      <c r="L14" s="141">
        <f t="shared" si="6"/>
        <v>55142727.72958788</v>
      </c>
      <c r="M14" s="141">
        <f t="shared" si="6"/>
        <v>84429146.43303007</v>
      </c>
      <c r="N14" s="141">
        <f t="shared" si="6"/>
        <v>113820398.86337163</v>
      </c>
      <c r="O14" s="141">
        <f t="shared" si="6"/>
        <v>143294125.492587</v>
      </c>
      <c r="P14" s="141">
        <f t="shared" si="6"/>
        <v>174325560.47388202</v>
      </c>
      <c r="Q14" s="141">
        <f t="shared" si="6"/>
        <v>205899796.51126617</v>
      </c>
      <c r="R14" s="141">
        <f t="shared" si="6"/>
        <v>238320539.0000273</v>
      </c>
      <c r="S14" s="141">
        <f t="shared" si="6"/>
        <v>271604349.93699366</v>
      </c>
      <c r="T14" s="141">
        <f t="shared" si="6"/>
        <v>307699866.68800646</v>
      </c>
    </row>
    <row r="15" spans="1:20" ht="22.5">
      <c r="A15" s="138">
        <v>10</v>
      </c>
      <c r="B15" s="131" t="s">
        <v>133</v>
      </c>
      <c r="C15" s="142">
        <f aca="true" t="shared" si="7" ref="C15:T15">C16+C18+C20+C21+C23+C25+C26</f>
        <v>399491</v>
      </c>
      <c r="D15" s="142">
        <f t="shared" si="7"/>
        <v>1295280</v>
      </c>
      <c r="E15" s="143">
        <f t="shared" si="7"/>
        <v>8023784</v>
      </c>
      <c r="F15" s="143">
        <f t="shared" si="7"/>
        <v>-24687738.16</v>
      </c>
      <c r="G15" s="143">
        <f t="shared" si="7"/>
        <v>-25122919.812678542</v>
      </c>
      <c r="H15" s="143">
        <f t="shared" si="7"/>
        <v>0</v>
      </c>
      <c r="I15" s="143">
        <f t="shared" si="7"/>
        <v>26169707.344828542</v>
      </c>
      <c r="J15" s="143">
        <f t="shared" si="7"/>
        <v>0</v>
      </c>
      <c r="K15" s="143">
        <f t="shared" si="7"/>
        <v>27734203.534474887</v>
      </c>
      <c r="L15" s="143">
        <f t="shared" si="7"/>
        <v>57393981.29690935</v>
      </c>
      <c r="M15" s="143">
        <f t="shared" si="7"/>
        <v>86680400.00035153</v>
      </c>
      <c r="N15" s="143">
        <f t="shared" si="7"/>
        <v>116071652.43069309</v>
      </c>
      <c r="O15" s="143">
        <f t="shared" si="7"/>
        <v>145545379.05990845</v>
      </c>
      <c r="P15" s="143">
        <f t="shared" si="7"/>
        <v>175576814.04120347</v>
      </c>
      <c r="Q15" s="143">
        <f t="shared" si="7"/>
        <v>207151050.07858762</v>
      </c>
      <c r="R15" s="143">
        <f t="shared" si="7"/>
        <v>239571792.56734875</v>
      </c>
      <c r="S15" s="143">
        <f t="shared" si="7"/>
        <v>272855603.50431514</v>
      </c>
      <c r="T15" s="143">
        <f t="shared" si="7"/>
        <v>307699866.68800646</v>
      </c>
    </row>
    <row r="16" spans="1:20" ht="21">
      <c r="A16" s="134">
        <v>11</v>
      </c>
      <c r="B16" s="139" t="s">
        <v>134</v>
      </c>
      <c r="C16" s="137"/>
      <c r="D16" s="136">
        <v>749491</v>
      </c>
      <c r="E16" s="136">
        <v>20016</v>
      </c>
      <c r="F16" s="136">
        <f>-F13+F29-F20-F21-F23</f>
        <v>-28092661.16</v>
      </c>
      <c r="G16" s="136">
        <f>-G13+G29-G20-G21-G23</f>
        <v>-25126687.812678542</v>
      </c>
      <c r="H16" s="136"/>
      <c r="I16" s="137"/>
      <c r="J16" s="137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ht="56.25">
      <c r="A17" s="134">
        <v>12</v>
      </c>
      <c r="B17" s="135" t="s">
        <v>135</v>
      </c>
      <c r="C17" s="137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ht="21">
      <c r="A18" s="134">
        <v>13</v>
      </c>
      <c r="B18" s="139" t="s">
        <v>136</v>
      </c>
      <c r="C18" s="137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ht="56.25">
      <c r="A19" s="134">
        <v>14</v>
      </c>
      <c r="B19" s="135" t="s">
        <v>137</v>
      </c>
      <c r="C19" s="137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21">
      <c r="A20" s="134">
        <v>15</v>
      </c>
      <c r="B20" s="139" t="s">
        <v>138</v>
      </c>
      <c r="C20" s="137"/>
      <c r="D20" s="137">
        <v>14536</v>
      </c>
      <c r="E20" s="137">
        <v>3768</v>
      </c>
      <c r="F20" s="137">
        <v>3768</v>
      </c>
      <c r="G20" s="137">
        <v>3768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31.5">
      <c r="A21" s="134">
        <v>16</v>
      </c>
      <c r="B21" s="139" t="s">
        <v>139</v>
      </c>
      <c r="C21" s="137">
        <v>399491</v>
      </c>
      <c r="D21" s="136">
        <f>C13+C14</f>
        <v>531253</v>
      </c>
      <c r="E21" s="136"/>
      <c r="F21" s="137">
        <f>E13+E14</f>
        <v>3401155</v>
      </c>
      <c r="G21" s="137">
        <f>F13+F14</f>
        <v>0</v>
      </c>
      <c r="H21" s="137">
        <f>G13+G14</f>
        <v>0</v>
      </c>
      <c r="I21" s="137">
        <f>H13+H14</f>
        <v>26169707.344828542</v>
      </c>
      <c r="J21" s="137"/>
      <c r="K21" s="137">
        <f aca="true" t="shared" si="8" ref="K21:T21">J13+J14</f>
        <v>27734203.534474887</v>
      </c>
      <c r="L21" s="137">
        <f t="shared" si="8"/>
        <v>57393981.29690935</v>
      </c>
      <c r="M21" s="137">
        <f t="shared" si="8"/>
        <v>86680400.00035153</v>
      </c>
      <c r="N21" s="137">
        <f t="shared" si="8"/>
        <v>116071652.43069309</v>
      </c>
      <c r="O21" s="137">
        <f t="shared" si="8"/>
        <v>145545379.05990845</v>
      </c>
      <c r="P21" s="137">
        <f t="shared" si="8"/>
        <v>175576814.04120347</v>
      </c>
      <c r="Q21" s="137">
        <f t="shared" si="8"/>
        <v>207151050.07858762</v>
      </c>
      <c r="R21" s="137">
        <f t="shared" si="8"/>
        <v>239571792.56734875</v>
      </c>
      <c r="S21" s="137">
        <f t="shared" si="8"/>
        <v>272855603.50431514</v>
      </c>
      <c r="T21" s="137">
        <f t="shared" si="8"/>
        <v>307699866.68800646</v>
      </c>
    </row>
    <row r="22" spans="1:20" ht="22.5">
      <c r="A22" s="134">
        <v>17</v>
      </c>
      <c r="B22" s="135" t="s">
        <v>140</v>
      </c>
      <c r="C22" s="137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ht="52.5">
      <c r="A23" s="134">
        <v>18</v>
      </c>
      <c r="B23" s="139" t="s">
        <v>141</v>
      </c>
      <c r="C23" s="137"/>
      <c r="D23" s="136"/>
      <c r="E23" s="136">
        <v>8000000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ht="56.25">
      <c r="A24" s="134">
        <v>19</v>
      </c>
      <c r="B24" s="135" t="s">
        <v>142</v>
      </c>
      <c r="C24" s="137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ht="21">
      <c r="A25" s="134">
        <v>20</v>
      </c>
      <c r="B25" s="139" t="s">
        <v>143</v>
      </c>
      <c r="C25" s="137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21">
      <c r="A26" s="134">
        <v>21</v>
      </c>
      <c r="B26" s="139" t="s">
        <v>144</v>
      </c>
      <c r="C26" s="137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22.5">
      <c r="A27" s="134">
        <v>22</v>
      </c>
      <c r="B27" s="135" t="s">
        <v>145</v>
      </c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24">
      <c r="A28" s="138">
        <v>23</v>
      </c>
      <c r="B28" s="131" t="s">
        <v>146</v>
      </c>
      <c r="C28" s="142">
        <f aca="true" t="shared" si="9" ref="C28:T28">C29+C31+C33+C34+C35+C37</f>
        <v>2906687</v>
      </c>
      <c r="D28" s="142">
        <f t="shared" si="9"/>
        <v>1526686.56</v>
      </c>
      <c r="E28" s="142">
        <f t="shared" si="9"/>
        <v>1750567</v>
      </c>
      <c r="F28" s="142">
        <f t="shared" si="9"/>
        <v>1508113.8399999999</v>
      </c>
      <c r="G28" s="142">
        <f t="shared" si="9"/>
        <v>2630702.8673214614</v>
      </c>
      <c r="H28" s="142">
        <f t="shared" si="9"/>
        <v>3152893.567321461</v>
      </c>
      <c r="I28" s="142">
        <f t="shared" si="9"/>
        <v>3152893.567321461</v>
      </c>
      <c r="J28" s="142">
        <f t="shared" si="9"/>
        <v>3131893.567321461</v>
      </c>
      <c r="K28" s="142">
        <f t="shared" si="9"/>
        <v>2552893.567321461</v>
      </c>
      <c r="L28" s="142">
        <f t="shared" si="9"/>
        <v>2251253.567321461</v>
      </c>
      <c r="M28" s="142">
        <f t="shared" si="9"/>
        <v>2251253.567321461</v>
      </c>
      <c r="N28" s="142">
        <f t="shared" si="9"/>
        <v>2251253.567321461</v>
      </c>
      <c r="O28" s="142">
        <f t="shared" si="9"/>
        <v>2251253.567321461</v>
      </c>
      <c r="P28" s="142">
        <f t="shared" si="9"/>
        <v>1251253.5673214612</v>
      </c>
      <c r="Q28" s="142">
        <f t="shared" si="9"/>
        <v>1251253.5673214612</v>
      </c>
      <c r="R28" s="142">
        <f t="shared" si="9"/>
        <v>1251253.5673214612</v>
      </c>
      <c r="S28" s="142">
        <f t="shared" si="9"/>
        <v>1251253.5673214612</v>
      </c>
      <c r="T28" s="142">
        <f t="shared" si="9"/>
        <v>0</v>
      </c>
    </row>
    <row r="29" spans="1:20" ht="21">
      <c r="A29" s="134">
        <v>24</v>
      </c>
      <c r="B29" s="139" t="s">
        <v>147</v>
      </c>
      <c r="C29" s="137">
        <v>1776687</v>
      </c>
      <c r="D29" s="137">
        <f>(12*55223.88)+(4*120000)+(4*96000)</f>
        <v>1526686.56</v>
      </c>
      <c r="E29" s="137">
        <f>kredyty!C3</f>
        <v>1750567</v>
      </c>
      <c r="F29" s="137">
        <f>kredyty!D3</f>
        <v>1508113.8399999999</v>
      </c>
      <c r="G29" s="137">
        <f>kredyty!E3</f>
        <v>2630702.8673214614</v>
      </c>
      <c r="H29" s="137">
        <f>kredyty!F3</f>
        <v>2152893.567321461</v>
      </c>
      <c r="I29" s="137">
        <f>kredyty!G3</f>
        <v>2152893.567321461</v>
      </c>
      <c r="J29" s="137">
        <f>kredyty!H3</f>
        <v>2131893.567321461</v>
      </c>
      <c r="K29" s="137">
        <f>kredyty!I3</f>
        <v>1552893.5673214612</v>
      </c>
      <c r="L29" s="137">
        <f>kredyty!J3</f>
        <v>1251253.5673214612</v>
      </c>
      <c r="M29" s="137">
        <f>kredyty!K3</f>
        <v>1251253.5673214612</v>
      </c>
      <c r="N29" s="137">
        <f>kredyty!L3</f>
        <v>1251253.5673214612</v>
      </c>
      <c r="O29" s="137">
        <f>kredyty!M3</f>
        <v>1251253.5673214612</v>
      </c>
      <c r="P29" s="137">
        <f>kredyty!N3</f>
        <v>1251253.5673214612</v>
      </c>
      <c r="Q29" s="137">
        <f>kredyty!O3</f>
        <v>1251253.5673214612</v>
      </c>
      <c r="R29" s="137">
        <f>kredyty!P3</f>
        <v>1251253.5673214612</v>
      </c>
      <c r="S29" s="137">
        <f>kredyty!Q3</f>
        <v>1251253.5673214612</v>
      </c>
      <c r="T29" s="137">
        <f>kredyty!R3</f>
        <v>0</v>
      </c>
    </row>
    <row r="30" spans="1:20" ht="56.25">
      <c r="A30" s="134">
        <v>25</v>
      </c>
      <c r="B30" s="135" t="s">
        <v>148</v>
      </c>
      <c r="C30" s="137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ht="21">
      <c r="A31" s="134">
        <v>26</v>
      </c>
      <c r="B31" s="139" t="s">
        <v>149</v>
      </c>
      <c r="C31" s="137">
        <v>123000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ht="56.25">
      <c r="A32" s="134">
        <v>27</v>
      </c>
      <c r="B32" s="135" t="s">
        <v>150</v>
      </c>
      <c r="C32" s="137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ht="21">
      <c r="A33" s="134">
        <v>28</v>
      </c>
      <c r="B33" s="139" t="s">
        <v>151</v>
      </c>
      <c r="C33" s="137">
        <v>7000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ht="11.25">
      <c r="A34" s="134">
        <v>29</v>
      </c>
      <c r="B34" s="139" t="s">
        <v>152</v>
      </c>
      <c r="C34" s="137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ht="31.5">
      <c r="A35" s="134">
        <v>30</v>
      </c>
      <c r="B35" s="139" t="s">
        <v>153</v>
      </c>
      <c r="C35" s="137">
        <v>1000000</v>
      </c>
      <c r="D35" s="136"/>
      <c r="E35" s="136"/>
      <c r="F35" s="136"/>
      <c r="G35" s="136"/>
      <c r="H35" s="144">
        <v>1000000</v>
      </c>
      <c r="I35" s="144">
        <v>1000000</v>
      </c>
      <c r="J35" s="144">
        <v>1000000</v>
      </c>
      <c r="K35" s="144">
        <v>1000000</v>
      </c>
      <c r="L35" s="144">
        <v>1000000</v>
      </c>
      <c r="M35" s="144">
        <v>1000000</v>
      </c>
      <c r="N35" s="144">
        <v>1000000</v>
      </c>
      <c r="O35" s="144">
        <v>1000000</v>
      </c>
      <c r="P35" s="144"/>
      <c r="Q35" s="144"/>
      <c r="R35" s="144"/>
      <c r="S35" s="144"/>
      <c r="T35" s="144"/>
    </row>
    <row r="36" spans="1:20" ht="56.25">
      <c r="A36" s="134">
        <v>31</v>
      </c>
      <c r="B36" s="135" t="s">
        <v>154</v>
      </c>
      <c r="C36" s="137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ht="11.25">
      <c r="A37" s="134">
        <v>32</v>
      </c>
      <c r="B37" s="139" t="s">
        <v>155</v>
      </c>
      <c r="C37" s="137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ht="11.25">
      <c r="A38" s="134">
        <v>33</v>
      </c>
      <c r="B38" s="139" t="s">
        <v>156</v>
      </c>
      <c r="C38" s="136">
        <v>100000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ht="33">
      <c r="A39" s="138">
        <v>34</v>
      </c>
      <c r="B39" s="131" t="s">
        <v>157</v>
      </c>
      <c r="C39" s="132">
        <f aca="true" t="shared" si="10" ref="C39:T39">C40+C41+C42+C43+C44+C47</f>
        <v>3893902</v>
      </c>
      <c r="D39" s="132">
        <f t="shared" si="10"/>
        <v>3116330.44</v>
      </c>
      <c r="E39" s="133">
        <f t="shared" si="10"/>
        <v>9385779.44</v>
      </c>
      <c r="F39" s="133">
        <f t="shared" si="10"/>
        <v>-20214995.56</v>
      </c>
      <c r="G39" s="133">
        <f t="shared" si="10"/>
        <v>-47972386.24</v>
      </c>
      <c r="H39" s="133">
        <f t="shared" si="10"/>
        <v>-51125279.80732147</v>
      </c>
      <c r="I39" s="133">
        <f t="shared" si="10"/>
        <v>-54278173.37464293</v>
      </c>
      <c r="J39" s="133">
        <f t="shared" si="10"/>
        <v>-57410406.941964395</v>
      </c>
      <c r="K39" s="133">
        <f t="shared" si="10"/>
        <v>-59963300.50928586</v>
      </c>
      <c r="L39" s="133">
        <f t="shared" si="10"/>
        <v>-62214554.076607324</v>
      </c>
      <c r="M39" s="133">
        <f t="shared" si="10"/>
        <v>-64465807.64392879</v>
      </c>
      <c r="N39" s="133">
        <f t="shared" si="10"/>
        <v>-66717061.211250246</v>
      </c>
      <c r="O39" s="133">
        <f t="shared" si="10"/>
        <v>-68968314.77857171</v>
      </c>
      <c r="P39" s="133">
        <f t="shared" si="10"/>
        <v>-70219568.34589317</v>
      </c>
      <c r="Q39" s="133">
        <f t="shared" si="10"/>
        <v>-71470821.91321464</v>
      </c>
      <c r="R39" s="133">
        <f t="shared" si="10"/>
        <v>-72722075.4805361</v>
      </c>
      <c r="S39" s="133">
        <f t="shared" si="10"/>
        <v>-73973329.04785757</v>
      </c>
      <c r="T39" s="133">
        <f t="shared" si="10"/>
        <v>-73973329.04785757</v>
      </c>
    </row>
    <row r="40" spans="1:20" ht="21">
      <c r="A40" s="134">
        <v>35</v>
      </c>
      <c r="B40" s="139" t="s">
        <v>158</v>
      </c>
      <c r="C40" s="136"/>
      <c r="D40" s="136"/>
      <c r="E40" s="136">
        <v>8000000</v>
      </c>
      <c r="F40" s="136">
        <v>8000000</v>
      </c>
      <c r="G40" s="136">
        <v>8000000</v>
      </c>
      <c r="H40" s="136">
        <v>7000000</v>
      </c>
      <c r="I40" s="136">
        <v>6000000</v>
      </c>
      <c r="J40" s="136">
        <v>5000000</v>
      </c>
      <c r="K40" s="136">
        <v>4000000</v>
      </c>
      <c r="L40" s="136">
        <v>3000000</v>
      </c>
      <c r="M40" s="136">
        <v>2000000</v>
      </c>
      <c r="N40" s="136">
        <v>1000000</v>
      </c>
      <c r="O40" s="136"/>
      <c r="P40" s="136"/>
      <c r="Q40" s="136"/>
      <c r="R40" s="136"/>
      <c r="S40" s="136"/>
      <c r="T40" s="136"/>
    </row>
    <row r="41" spans="1:20" ht="11.25">
      <c r="A41" s="134">
        <v>36</v>
      </c>
      <c r="B41" s="139" t="s">
        <v>159</v>
      </c>
      <c r="C41" s="136">
        <v>3893525</v>
      </c>
      <c r="D41" s="136">
        <f>C41+D16-D29+1</f>
        <v>3116330.44</v>
      </c>
      <c r="E41" s="136">
        <f>D41+E16-E29</f>
        <v>1385779.44</v>
      </c>
      <c r="F41" s="136">
        <f>E41+F16-F29</f>
        <v>-28214995.56</v>
      </c>
      <c r="G41" s="136">
        <f>F41+G16-G29</f>
        <v>-55972386.24</v>
      </c>
      <c r="H41" s="136">
        <f>G41+H16-H29</f>
        <v>-58125279.80732147</v>
      </c>
      <c r="I41" s="136">
        <f>H41+I16-I29</f>
        <v>-60278173.37464293</v>
      </c>
      <c r="J41" s="136">
        <f>I41+J16-J29-340</f>
        <v>-62410406.941964395</v>
      </c>
      <c r="K41" s="136">
        <f aca="true" t="shared" si="11" ref="K41:T41">J41+K16-K29</f>
        <v>-63963300.50928586</v>
      </c>
      <c r="L41" s="136">
        <f t="shared" si="11"/>
        <v>-65214554.076607324</v>
      </c>
      <c r="M41" s="136">
        <f t="shared" si="11"/>
        <v>-66465807.64392879</v>
      </c>
      <c r="N41" s="136">
        <f t="shared" si="11"/>
        <v>-67717061.21125025</v>
      </c>
      <c r="O41" s="136">
        <f t="shared" si="11"/>
        <v>-68968314.77857171</v>
      </c>
      <c r="P41" s="136">
        <f t="shared" si="11"/>
        <v>-70219568.34589317</v>
      </c>
      <c r="Q41" s="136">
        <f t="shared" si="11"/>
        <v>-71470821.91321464</v>
      </c>
      <c r="R41" s="136">
        <f t="shared" si="11"/>
        <v>-72722075.4805361</v>
      </c>
      <c r="S41" s="136">
        <f t="shared" si="11"/>
        <v>-73973329.04785757</v>
      </c>
      <c r="T41" s="136">
        <f t="shared" si="11"/>
        <v>-73973329.04785757</v>
      </c>
    </row>
    <row r="42" spans="1:20" ht="11.25">
      <c r="A42" s="134">
        <v>37</v>
      </c>
      <c r="B42" s="145" t="s">
        <v>160</v>
      </c>
      <c r="C42" s="14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ht="18.75">
      <c r="A43" s="134">
        <v>38</v>
      </c>
      <c r="B43" s="145" t="s">
        <v>161</v>
      </c>
      <c r="C43" s="14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31.5">
      <c r="A44" s="134">
        <v>39</v>
      </c>
      <c r="B44" s="145" t="s">
        <v>162</v>
      </c>
      <c r="C44" s="146">
        <f aca="true" t="shared" si="12" ref="C44:O44">C45+C46</f>
        <v>377</v>
      </c>
      <c r="D44" s="146">
        <f t="shared" si="12"/>
        <v>0</v>
      </c>
      <c r="E44" s="147">
        <f t="shared" si="12"/>
        <v>0</v>
      </c>
      <c r="F44" s="147">
        <f t="shared" si="12"/>
        <v>0</v>
      </c>
      <c r="G44" s="147">
        <f t="shared" si="12"/>
        <v>0</v>
      </c>
      <c r="H44" s="147">
        <f t="shared" si="12"/>
        <v>0</v>
      </c>
      <c r="I44" s="147">
        <f t="shared" si="12"/>
        <v>0</v>
      </c>
      <c r="J44" s="147">
        <f t="shared" si="12"/>
        <v>0</v>
      </c>
      <c r="K44" s="147">
        <f t="shared" si="12"/>
        <v>0</v>
      </c>
      <c r="L44" s="147">
        <f t="shared" si="12"/>
        <v>0</v>
      </c>
      <c r="M44" s="147">
        <f t="shared" si="12"/>
        <v>0</v>
      </c>
      <c r="N44" s="147">
        <f t="shared" si="12"/>
        <v>0</v>
      </c>
      <c r="O44" s="147">
        <f t="shared" si="12"/>
        <v>0</v>
      </c>
      <c r="P44" s="147"/>
      <c r="Q44" s="147"/>
      <c r="R44" s="147"/>
      <c r="S44" s="147"/>
      <c r="T44" s="147"/>
    </row>
    <row r="45" spans="1:20" ht="45">
      <c r="A45" s="134">
        <v>40</v>
      </c>
      <c r="B45" s="173" t="s">
        <v>196</v>
      </c>
      <c r="C45" s="146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56.25">
      <c r="A46" s="134">
        <v>41</v>
      </c>
      <c r="B46" s="148" t="s">
        <v>197</v>
      </c>
      <c r="C46" s="146">
        <v>377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64.5">
      <c r="A47" s="191">
        <v>42</v>
      </c>
      <c r="B47" s="145" t="s">
        <v>198</v>
      </c>
      <c r="C47" s="146">
        <f aca="true" t="shared" si="13" ref="C47:O47">SUM(C48:C50)</f>
        <v>0</v>
      </c>
      <c r="D47" s="146">
        <f t="shared" si="13"/>
        <v>0</v>
      </c>
      <c r="E47" s="147">
        <f t="shared" si="13"/>
        <v>0</v>
      </c>
      <c r="F47" s="147">
        <f t="shared" si="13"/>
        <v>0</v>
      </c>
      <c r="G47" s="147">
        <f t="shared" si="13"/>
        <v>0</v>
      </c>
      <c r="H47" s="147">
        <f t="shared" si="13"/>
        <v>0</v>
      </c>
      <c r="I47" s="147">
        <f t="shared" si="13"/>
        <v>0</v>
      </c>
      <c r="J47" s="147">
        <f t="shared" si="13"/>
        <v>0</v>
      </c>
      <c r="K47" s="147">
        <f t="shared" si="13"/>
        <v>0</v>
      </c>
      <c r="L47" s="147">
        <f t="shared" si="13"/>
        <v>0</v>
      </c>
      <c r="M47" s="147">
        <f t="shared" si="13"/>
        <v>0</v>
      </c>
      <c r="N47" s="147">
        <f t="shared" si="13"/>
        <v>0</v>
      </c>
      <c r="O47" s="147">
        <f t="shared" si="13"/>
        <v>0</v>
      </c>
      <c r="P47" s="147"/>
      <c r="Q47" s="147"/>
      <c r="R47" s="147"/>
      <c r="S47" s="147"/>
      <c r="T47" s="147"/>
    </row>
    <row r="48" spans="1:20" ht="11.25">
      <c r="A48" s="191"/>
      <c r="B48" s="148" t="s">
        <v>166</v>
      </c>
      <c r="C48" s="146"/>
      <c r="D48" s="149"/>
      <c r="E48" s="149"/>
      <c r="F48" s="136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1.25">
      <c r="A49" s="191"/>
      <c r="B49" s="148" t="s">
        <v>167</v>
      </c>
      <c r="C49" s="146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</row>
    <row r="50" spans="1:20" ht="22.5">
      <c r="A50" s="191"/>
      <c r="B50" s="148" t="s">
        <v>168</v>
      </c>
      <c r="C50" s="146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</row>
    <row r="51" spans="1:20" ht="36">
      <c r="A51" s="138">
        <v>43</v>
      </c>
      <c r="B51" s="131" t="s">
        <v>169</v>
      </c>
      <c r="C51" s="150">
        <f aca="true" t="shared" si="14" ref="C51:T51">C39/C6*100</f>
        <v>9.8545408862892</v>
      </c>
      <c r="D51" s="150">
        <f t="shared" si="14"/>
        <v>7.641472188812036</v>
      </c>
      <c r="E51" s="150">
        <f t="shared" si="14"/>
        <v>30.71530860643798</v>
      </c>
      <c r="F51" s="150">
        <f t="shared" si="14"/>
        <v>-48.723577118786125</v>
      </c>
      <c r="G51" s="150">
        <f t="shared" si="14"/>
        <v>-102.5570016857511</v>
      </c>
      <c r="H51" s="150">
        <f t="shared" si="14"/>
        <v>-105.01641108323693</v>
      </c>
      <c r="I51" s="150">
        <f t="shared" si="14"/>
        <v>-112.26314596916956</v>
      </c>
      <c r="J51" s="150">
        <f t="shared" si="14"/>
        <v>-115.89046754561829</v>
      </c>
      <c r="K51" s="150">
        <f t="shared" si="14"/>
        <v>-117.3873156454733</v>
      </c>
      <c r="L51" s="150">
        <f t="shared" si="14"/>
        <v>-121.90373098920968</v>
      </c>
      <c r="M51" s="150">
        <f t="shared" si="14"/>
        <v>-124.44813452439885</v>
      </c>
      <c r="N51" s="150">
        <f t="shared" si="14"/>
        <v>-126.89071037425803</v>
      </c>
      <c r="O51" s="150">
        <f t="shared" si="14"/>
        <v>-129.23391252915138</v>
      </c>
      <c r="P51" s="150">
        <f t="shared" si="14"/>
        <v>-129.63402082304788</v>
      </c>
      <c r="Q51" s="150">
        <f t="shared" si="14"/>
        <v>-129.99407871254905</v>
      </c>
      <c r="R51" s="150">
        <f t="shared" si="14"/>
        <v>-130.31518257024112</v>
      </c>
      <c r="S51" s="150">
        <f t="shared" si="14"/>
        <v>-130.59840511057337</v>
      </c>
      <c r="T51" s="150">
        <f t="shared" si="14"/>
        <v>-128.6683794192841</v>
      </c>
    </row>
    <row r="52" spans="1:20" ht="48">
      <c r="A52" s="134">
        <v>44</v>
      </c>
      <c r="B52" s="145" t="s">
        <v>170</v>
      </c>
      <c r="C52" s="152">
        <f aca="true" t="shared" si="15" ref="C52:T52">(C39-C47)/C6%</f>
        <v>9.854540886289199</v>
      </c>
      <c r="D52" s="152">
        <f t="shared" si="15"/>
        <v>7.641472188812036</v>
      </c>
      <c r="E52" s="152">
        <f t="shared" si="15"/>
        <v>30.71530860643798</v>
      </c>
      <c r="F52" s="152">
        <f t="shared" si="15"/>
        <v>-48.723577118786125</v>
      </c>
      <c r="G52" s="152">
        <f t="shared" si="15"/>
        <v>-102.5570016857511</v>
      </c>
      <c r="H52" s="152">
        <f t="shared" si="15"/>
        <v>-105.01641108323693</v>
      </c>
      <c r="I52" s="152">
        <f t="shared" si="15"/>
        <v>-112.26314596916954</v>
      </c>
      <c r="J52" s="152">
        <f t="shared" si="15"/>
        <v>-115.89046754561829</v>
      </c>
      <c r="K52" s="152">
        <f t="shared" si="15"/>
        <v>-117.3873156454733</v>
      </c>
      <c r="L52" s="152">
        <f t="shared" si="15"/>
        <v>-121.90373098920968</v>
      </c>
      <c r="M52" s="152">
        <f t="shared" si="15"/>
        <v>-124.44813452439884</v>
      </c>
      <c r="N52" s="152">
        <f t="shared" si="15"/>
        <v>-126.89071037425803</v>
      </c>
      <c r="O52" s="152">
        <f t="shared" si="15"/>
        <v>-129.23391252915135</v>
      </c>
      <c r="P52" s="152">
        <f t="shared" si="15"/>
        <v>-129.63402082304788</v>
      </c>
      <c r="Q52" s="152">
        <f t="shared" si="15"/>
        <v>-129.99407871254905</v>
      </c>
      <c r="R52" s="152">
        <f t="shared" si="15"/>
        <v>-130.31518257024112</v>
      </c>
      <c r="S52" s="152">
        <f t="shared" si="15"/>
        <v>-130.59840511057337</v>
      </c>
      <c r="T52" s="152">
        <f t="shared" si="15"/>
        <v>-128.66837941928412</v>
      </c>
    </row>
    <row r="53" spans="1:20" ht="54">
      <c r="A53" s="138">
        <v>45</v>
      </c>
      <c r="B53" s="131" t="s">
        <v>171</v>
      </c>
      <c r="C53" s="132">
        <f aca="true" t="shared" si="16" ref="C53:T53">C54+C55+C56+C57+C58+C59</f>
        <v>3383116</v>
      </c>
      <c r="D53" s="132">
        <f t="shared" si="16"/>
        <v>1777354</v>
      </c>
      <c r="E53" s="133">
        <f t="shared" si="16"/>
        <v>2647150.7961961646</v>
      </c>
      <c r="F53" s="133">
        <f t="shared" si="16"/>
        <v>2996200.5444526654</v>
      </c>
      <c r="G53" s="133">
        <f t="shared" si="16"/>
        <v>4760783.667051543</v>
      </c>
      <c r="H53" s="133">
        <f t="shared" si="16"/>
        <v>5146609.893457022</v>
      </c>
      <c r="I53" s="133">
        <f t="shared" si="16"/>
        <v>4980876.133457022</v>
      </c>
      <c r="J53" s="133">
        <f t="shared" si="16"/>
        <v>4833657.373457022</v>
      </c>
      <c r="K53" s="133">
        <f t="shared" si="16"/>
        <v>4242101.613457022</v>
      </c>
      <c r="L53" s="133">
        <f t="shared" si="16"/>
        <v>3870606.0534570217</v>
      </c>
      <c r="M53" s="133">
        <f t="shared" si="16"/>
        <v>3557172.0534570217</v>
      </c>
      <c r="N53" s="133">
        <f t="shared" si="16"/>
        <v>3482720.0534570217</v>
      </c>
      <c r="O53" s="133">
        <f t="shared" si="16"/>
        <v>3428086.0534570217</v>
      </c>
      <c r="P53" s="133">
        <f t="shared" si="16"/>
        <v>2210965.0534570217</v>
      </c>
      <c r="Q53" s="133">
        <f t="shared" si="16"/>
        <v>2210965.0534570217</v>
      </c>
      <c r="R53" s="133">
        <f t="shared" si="16"/>
        <v>2210965.0534570217</v>
      </c>
      <c r="S53" s="133">
        <f t="shared" si="16"/>
        <v>2210965.0534570217</v>
      </c>
      <c r="T53" s="133">
        <f t="shared" si="16"/>
        <v>0</v>
      </c>
    </row>
    <row r="54" spans="1:20" ht="36">
      <c r="A54" s="134">
        <v>46</v>
      </c>
      <c r="B54" s="145" t="s">
        <v>172</v>
      </c>
      <c r="C54" s="146">
        <v>2199423</v>
      </c>
      <c r="D54" s="146">
        <v>1777354</v>
      </c>
      <c r="E54" s="146">
        <f>kredyty!C16</f>
        <v>1922040.7961961643</v>
      </c>
      <c r="F54" s="146">
        <f>kredyty!D16</f>
        <v>2046115.5444526654</v>
      </c>
      <c r="G54" s="147">
        <f>kredyty!E16</f>
        <v>3843669.6670515426</v>
      </c>
      <c r="H54" s="147">
        <f>kredyty!F16</f>
        <v>3250895.8934570216</v>
      </c>
      <c r="I54" s="147">
        <f>kredyty!G16</f>
        <v>3163729.133457022</v>
      </c>
      <c r="J54" s="147">
        <f>kredyty!H16</f>
        <v>3059216.3734570215</v>
      </c>
      <c r="K54" s="147">
        <f>kredyty!I16</f>
        <v>2529813.613457022</v>
      </c>
      <c r="L54" s="147">
        <f>kredyty!J16</f>
        <v>2210965.0534570217</v>
      </c>
      <c r="M54" s="147">
        <f>kredyty!K16</f>
        <v>2210965.0534570217</v>
      </c>
      <c r="N54" s="147">
        <f>kredyty!L16</f>
        <v>2210965.0534570217</v>
      </c>
      <c r="O54" s="147">
        <f>kredyty!M16</f>
        <v>2210965.0534570217</v>
      </c>
      <c r="P54" s="147">
        <f>kredyty!N16</f>
        <v>2210965.0534570217</v>
      </c>
      <c r="Q54" s="147">
        <f>kredyty!O16</f>
        <v>2210965.0534570217</v>
      </c>
      <c r="R54" s="147">
        <f>kredyty!P16</f>
        <v>2210965.0534570217</v>
      </c>
      <c r="S54" s="147">
        <f>kredyty!Q16</f>
        <v>2210965.0534570217</v>
      </c>
      <c r="T54" s="147">
        <f>kredyty!R16</f>
        <v>0</v>
      </c>
    </row>
    <row r="55" spans="1:20" ht="36">
      <c r="A55" s="134">
        <v>47</v>
      </c>
      <c r="B55" s="145" t="s">
        <v>173</v>
      </c>
      <c r="C55" s="146">
        <v>123417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</row>
    <row r="56" spans="1:20" ht="42">
      <c r="A56" s="134">
        <v>48</v>
      </c>
      <c r="B56" s="145" t="s">
        <v>174</v>
      </c>
      <c r="C56" s="146"/>
      <c r="D56" s="146"/>
      <c r="E56" s="146">
        <v>494881</v>
      </c>
      <c r="F56" s="146">
        <v>490885</v>
      </c>
      <c r="G56" s="146">
        <v>457914</v>
      </c>
      <c r="H56" s="146">
        <v>436514</v>
      </c>
      <c r="I56" s="146">
        <v>415347</v>
      </c>
      <c r="J56" s="146">
        <v>430041</v>
      </c>
      <c r="K56" s="146">
        <v>425288</v>
      </c>
      <c r="L56" s="146">
        <v>430041</v>
      </c>
      <c r="M56" s="146">
        <f>19924+35945+118138</f>
        <v>174007</v>
      </c>
      <c r="N56" s="146">
        <f>34559+122396</f>
        <v>156955</v>
      </c>
      <c r="O56" s="146">
        <f>33173+126548</f>
        <v>159721</v>
      </c>
      <c r="P56" s="146"/>
      <c r="Q56" s="146"/>
      <c r="R56" s="146"/>
      <c r="S56" s="146"/>
      <c r="T56" s="146"/>
    </row>
    <row r="57" spans="1:20" ht="81">
      <c r="A57" s="134">
        <v>49</v>
      </c>
      <c r="B57" s="145" t="s">
        <v>199</v>
      </c>
      <c r="C57" s="146">
        <v>1060276</v>
      </c>
      <c r="D57" s="146"/>
      <c r="E57" s="146">
        <v>230229</v>
      </c>
      <c r="F57" s="146">
        <v>459200</v>
      </c>
      <c r="G57" s="146">
        <v>459200</v>
      </c>
      <c r="H57" s="146">
        <v>1459200</v>
      </c>
      <c r="I57" s="146">
        <v>1401800</v>
      </c>
      <c r="J57" s="146">
        <v>1344400</v>
      </c>
      <c r="K57" s="146">
        <v>1287000</v>
      </c>
      <c r="L57" s="146">
        <v>1229600</v>
      </c>
      <c r="M57" s="146">
        <v>1172200</v>
      </c>
      <c r="N57" s="146">
        <v>1114800</v>
      </c>
      <c r="O57" s="146">
        <v>1057400</v>
      </c>
      <c r="P57" s="146"/>
      <c r="Q57" s="146"/>
      <c r="R57" s="146"/>
      <c r="S57" s="146"/>
      <c r="T57" s="146"/>
    </row>
    <row r="58" spans="1:20" ht="63">
      <c r="A58" s="134">
        <v>50</v>
      </c>
      <c r="B58" s="145" t="s">
        <v>176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</row>
    <row r="59" spans="1:20" ht="78">
      <c r="A59" s="191">
        <v>51</v>
      </c>
      <c r="B59" s="145" t="s">
        <v>177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</row>
    <row r="60" spans="1:20" ht="22.5">
      <c r="A60" s="191"/>
      <c r="B60" s="148" t="s">
        <v>178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</row>
    <row r="61" spans="1:20" ht="22.5">
      <c r="A61" s="191"/>
      <c r="B61" s="148" t="s">
        <v>179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</row>
    <row r="62" spans="1:20" ht="33.75">
      <c r="A62" s="191"/>
      <c r="B62" s="148" t="s">
        <v>180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0" ht="67.5">
      <c r="A63" s="191"/>
      <c r="B63" s="148" t="s">
        <v>181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0" ht="46.5">
      <c r="A64" s="138">
        <v>52</v>
      </c>
      <c r="B64" s="131" t="s">
        <v>182</v>
      </c>
      <c r="C64" s="150">
        <f aca="true" t="shared" si="17" ref="C64:T64">C53/C6*100</f>
        <v>8.561862867904527</v>
      </c>
      <c r="D64" s="150">
        <f t="shared" si="17"/>
        <v>4.358203156618342</v>
      </c>
      <c r="E64" s="150">
        <f t="shared" si="17"/>
        <v>8.66289839354495</v>
      </c>
      <c r="F64" s="150">
        <f t="shared" si="17"/>
        <v>7.221649287910525</v>
      </c>
      <c r="G64" s="150">
        <f t="shared" si="17"/>
        <v>10.177765519618674</v>
      </c>
      <c r="H64" s="150">
        <f t="shared" si="17"/>
        <v>10.571648747806693</v>
      </c>
      <c r="I64" s="150">
        <f t="shared" si="17"/>
        <v>10.301909398555123</v>
      </c>
      <c r="J64" s="150">
        <f t="shared" si="17"/>
        <v>9.757374016378852</v>
      </c>
      <c r="K64" s="150">
        <f t="shared" si="17"/>
        <v>8.304561571322045</v>
      </c>
      <c r="L64" s="150">
        <f t="shared" si="17"/>
        <v>7.584098706627936</v>
      </c>
      <c r="M64" s="150">
        <f t="shared" si="17"/>
        <v>6.8669492001120105</v>
      </c>
      <c r="N64" s="150">
        <f t="shared" si="17"/>
        <v>6.623865224197184</v>
      </c>
      <c r="O64" s="150">
        <f t="shared" si="17"/>
        <v>6.423601542204352</v>
      </c>
      <c r="P64" s="150">
        <f t="shared" si="17"/>
        <v>4.081715347024653</v>
      </c>
      <c r="Q64" s="150">
        <f t="shared" si="17"/>
        <v>4.021394430566161</v>
      </c>
      <c r="R64" s="150">
        <f t="shared" si="17"/>
        <v>3.961964956222818</v>
      </c>
      <c r="S64" s="150">
        <f t="shared" si="17"/>
        <v>3.9034137499732204</v>
      </c>
      <c r="T64" s="150">
        <f t="shared" si="17"/>
        <v>0</v>
      </c>
    </row>
    <row r="65" spans="1:20" s="153" customFormat="1" ht="58.5">
      <c r="A65" s="134">
        <v>53</v>
      </c>
      <c r="B65" s="145" t="s">
        <v>183</v>
      </c>
      <c r="C65" s="152">
        <f aca="true" t="shared" si="18" ref="C65:T65">(C53-C59)/C6%</f>
        <v>8.561862867904527</v>
      </c>
      <c r="D65" s="152">
        <f t="shared" si="18"/>
        <v>4.358203156618342</v>
      </c>
      <c r="E65" s="152">
        <f t="shared" si="18"/>
        <v>8.662898393544948</v>
      </c>
      <c r="F65" s="152">
        <f t="shared" si="18"/>
        <v>7.221649287910525</v>
      </c>
      <c r="G65" s="152">
        <f t="shared" si="18"/>
        <v>10.177765519618674</v>
      </c>
      <c r="H65" s="152">
        <f t="shared" si="18"/>
        <v>10.571648747806693</v>
      </c>
      <c r="I65" s="152">
        <f t="shared" si="18"/>
        <v>10.301909398555123</v>
      </c>
      <c r="J65" s="152">
        <f t="shared" si="18"/>
        <v>9.757374016378854</v>
      </c>
      <c r="K65" s="152">
        <f t="shared" si="18"/>
        <v>8.304561571322045</v>
      </c>
      <c r="L65" s="152">
        <f t="shared" si="18"/>
        <v>7.584098706627935</v>
      </c>
      <c r="M65" s="152">
        <f t="shared" si="18"/>
        <v>6.8669492001120105</v>
      </c>
      <c r="N65" s="152">
        <f t="shared" si="18"/>
        <v>6.623865224197185</v>
      </c>
      <c r="O65" s="152">
        <f t="shared" si="18"/>
        <v>6.423601542204351</v>
      </c>
      <c r="P65" s="152">
        <f t="shared" si="18"/>
        <v>4.081715347024653</v>
      </c>
      <c r="Q65" s="152">
        <f t="shared" si="18"/>
        <v>4.021394430566161</v>
      </c>
      <c r="R65" s="152">
        <f t="shared" si="18"/>
        <v>3.961964956222818</v>
      </c>
      <c r="S65" s="152">
        <f t="shared" si="18"/>
        <v>3.90341374997322</v>
      </c>
      <c r="T65" s="152">
        <f t="shared" si="18"/>
        <v>0</v>
      </c>
    </row>
    <row r="66" spans="1:20" s="174" customFormat="1" ht="33" customHeight="1">
      <c r="A66" s="195" t="s">
        <v>184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</row>
    <row r="67" spans="1:20" ht="11.25">
      <c r="A67" s="154">
        <v>54</v>
      </c>
      <c r="B67" s="155" t="s">
        <v>185</v>
      </c>
      <c r="C67" s="156">
        <f>C7</f>
        <v>37780784</v>
      </c>
      <c r="D67" s="156">
        <f>D7</f>
        <v>38775807</v>
      </c>
      <c r="E67" s="157">
        <f>E7</f>
        <v>30107354</v>
      </c>
      <c r="F67" s="158"/>
      <c r="G67" s="158"/>
      <c r="H67" s="158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</row>
    <row r="68" spans="1:20" ht="11.25">
      <c r="A68" s="154">
        <v>55</v>
      </c>
      <c r="B68" s="155" t="s">
        <v>186</v>
      </c>
      <c r="C68" s="156">
        <f>C9</f>
        <v>1733000</v>
      </c>
      <c r="D68" s="156">
        <f>D9</f>
        <v>2006000</v>
      </c>
      <c r="E68" s="157">
        <f>E9</f>
        <v>394334</v>
      </c>
      <c r="F68" s="158"/>
      <c r="G68" s="158"/>
      <c r="H68" s="158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</row>
    <row r="69" spans="1:20" ht="11.25">
      <c r="A69" s="160">
        <v>56</v>
      </c>
      <c r="B69" s="161" t="s">
        <v>187</v>
      </c>
      <c r="C69" s="156">
        <f>C11</f>
        <v>32783361</v>
      </c>
      <c r="D69" s="156">
        <f>D11</f>
        <v>35629630</v>
      </c>
      <c r="E69" s="157">
        <f>E11</f>
        <v>27413409</v>
      </c>
      <c r="F69" s="158"/>
      <c r="G69" s="158"/>
      <c r="H69" s="158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</row>
    <row r="70" spans="1:20" ht="21">
      <c r="A70" s="162">
        <v>57</v>
      </c>
      <c r="B70" s="163" t="s">
        <v>188</v>
      </c>
      <c r="C70" s="164">
        <f>(C67+C68-C69)/C6</f>
        <v>0.17033101663966174</v>
      </c>
      <c r="D70" s="164">
        <f>(D67+D68-D69)/D6</f>
        <v>0.1263351817637703</v>
      </c>
      <c r="E70" s="165">
        <f>(E67+E68-E69)/E6</f>
        <v>0.10106506673651569</v>
      </c>
      <c r="F70" s="166"/>
      <c r="G70" s="166"/>
      <c r="H70" s="166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1:20" ht="22.5">
      <c r="A71" s="168">
        <v>58</v>
      </c>
      <c r="B71" s="169" t="s">
        <v>189</v>
      </c>
      <c r="C71" s="158"/>
      <c r="D71" s="158"/>
      <c r="E71" s="158"/>
      <c r="F71" s="156">
        <f aca="true" t="shared" si="19" ref="F71:T71">F54+F55+F57</f>
        <v>2505315.5444526654</v>
      </c>
      <c r="G71" s="156">
        <f t="shared" si="19"/>
        <v>4302869.667051543</v>
      </c>
      <c r="H71" s="157">
        <f t="shared" si="19"/>
        <v>4710095.893457022</v>
      </c>
      <c r="I71" s="157">
        <f t="shared" si="19"/>
        <v>4565529.133457022</v>
      </c>
      <c r="J71" s="157">
        <f t="shared" si="19"/>
        <v>4403616.373457022</v>
      </c>
      <c r="K71" s="157">
        <f t="shared" si="19"/>
        <v>3816813.613457022</v>
      </c>
      <c r="L71" s="157">
        <f t="shared" si="19"/>
        <v>3440565.0534570217</v>
      </c>
      <c r="M71" s="157">
        <f t="shared" si="19"/>
        <v>3383165.0534570217</v>
      </c>
      <c r="N71" s="157">
        <f t="shared" si="19"/>
        <v>3325765.0534570217</v>
      </c>
      <c r="O71" s="157">
        <f t="shared" si="19"/>
        <v>3268365.0534570217</v>
      </c>
      <c r="P71" s="157">
        <f t="shared" si="19"/>
        <v>2210965.0534570217</v>
      </c>
      <c r="Q71" s="157">
        <f t="shared" si="19"/>
        <v>2210965.0534570217</v>
      </c>
      <c r="R71" s="157">
        <f t="shared" si="19"/>
        <v>2210965.0534570217</v>
      </c>
      <c r="S71" s="157">
        <f t="shared" si="19"/>
        <v>2210965.0534570217</v>
      </c>
      <c r="T71" s="157">
        <f t="shared" si="19"/>
        <v>0</v>
      </c>
    </row>
    <row r="72" spans="1:20" ht="22.5">
      <c r="A72" s="162">
        <v>59</v>
      </c>
      <c r="B72" s="163" t="s">
        <v>190</v>
      </c>
      <c r="C72" s="158"/>
      <c r="D72" s="158"/>
      <c r="E72" s="158"/>
      <c r="F72" s="164">
        <f aca="true" t="shared" si="20" ref="F72:T72">F71/F6</f>
        <v>0.06038484390200534</v>
      </c>
      <c r="G72" s="164">
        <f t="shared" si="20"/>
        <v>0.09198821369644929</v>
      </c>
      <c r="H72" s="165">
        <f t="shared" si="20"/>
        <v>0.09675005563840718</v>
      </c>
      <c r="I72" s="165">
        <f t="shared" si="20"/>
        <v>0.09442850259497215</v>
      </c>
      <c r="J72" s="165">
        <f t="shared" si="20"/>
        <v>0.08889279620110846</v>
      </c>
      <c r="K72" s="165">
        <f t="shared" si="20"/>
        <v>0.07471995380465006</v>
      </c>
      <c r="L72" s="165">
        <f t="shared" si="20"/>
        <v>0.06741472681955647</v>
      </c>
      <c r="M72" s="165">
        <f t="shared" si="20"/>
        <v>0.06531037073426253</v>
      </c>
      <c r="N72" s="165">
        <f t="shared" si="20"/>
        <v>0.063253489064036</v>
      </c>
      <c r="O72" s="165">
        <f t="shared" si="20"/>
        <v>0.06124313821323549</v>
      </c>
      <c r="P72" s="165">
        <f t="shared" si="20"/>
        <v>0.04081715347024653</v>
      </c>
      <c r="Q72" s="165">
        <f t="shared" si="20"/>
        <v>0.04021394430566161</v>
      </c>
      <c r="R72" s="165">
        <f t="shared" si="20"/>
        <v>0.03961964956222818</v>
      </c>
      <c r="S72" s="165">
        <f t="shared" si="20"/>
        <v>0.039034137499732204</v>
      </c>
      <c r="T72" s="165">
        <f t="shared" si="20"/>
        <v>0</v>
      </c>
    </row>
    <row r="73" spans="2:3" ht="79.5">
      <c r="B73" s="175" t="s">
        <v>200</v>
      </c>
      <c r="C73" s="176"/>
    </row>
  </sheetData>
  <sheetProtection/>
  <mergeCells count="6">
    <mergeCell ref="A2:T2"/>
    <mergeCell ref="C4:E4"/>
    <mergeCell ref="F4:T4"/>
    <mergeCell ref="A47:A50"/>
    <mergeCell ref="A59:A63"/>
    <mergeCell ref="A66:T66"/>
  </mergeCells>
  <printOptions horizontalCentered="1" verticalCentered="1"/>
  <pageMargins left="0.27569444444444446" right="0.11805555555555555" top="0.5902777777777778" bottom="0.5902777777777778" header="0.5118055555555555" footer="0.5118055555555555"/>
  <pageSetup horizontalDpi="300" verticalDpi="300" orientation="landscape" paperSize="9" scale="73" r:id="rId1"/>
  <rowBreaks count="3" manualBreakCount="3">
    <brk id="27" max="255" man="1"/>
    <brk id="50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39"/>
  <sheetViews>
    <sheetView showGridLines="0" defaultGridColor="0" view="pageBreakPreview" zoomScale="80" zoomScaleSheetLayoutView="80" zoomScalePageLayoutView="0" colorId="15" workbookViewId="0" topLeftCell="A1">
      <selection activeCell="K20" activeCellId="1" sqref="O44:T44 K20"/>
    </sheetView>
  </sheetViews>
  <sheetFormatPr defaultColWidth="9.00390625" defaultRowHeight="12.75"/>
  <cols>
    <col min="1" max="1" width="13.00390625" style="43" customWidth="1"/>
    <col min="2" max="2" width="11.875" style="43" customWidth="1"/>
    <col min="3" max="3" width="8.00390625" style="43" customWidth="1"/>
    <col min="4" max="4" width="8.25390625" style="43" customWidth="1"/>
    <col min="5" max="6" width="9.25390625" style="43" customWidth="1"/>
    <col min="7" max="7" width="7.875" style="43" customWidth="1"/>
    <col min="8" max="8" width="8.125" style="43" customWidth="1"/>
    <col min="9" max="9" width="7.875" style="43" customWidth="1"/>
    <col min="10" max="10" width="8.00390625" style="43" customWidth="1"/>
    <col min="11" max="13" width="7.875" style="43" customWidth="1"/>
    <col min="14" max="15" width="8.00390625" style="43" customWidth="1"/>
    <col min="16" max="16" width="8.25390625" style="43" customWidth="1"/>
    <col min="17" max="17" width="8.00390625" style="43" customWidth="1"/>
    <col min="18" max="19" width="8.125" style="43" customWidth="1"/>
    <col min="20" max="21" width="8.00390625" style="43" customWidth="1"/>
    <col min="22" max="22" width="8.125" style="43" customWidth="1"/>
    <col min="23" max="23" width="8.00390625" style="43" customWidth="1"/>
    <col min="24" max="24" width="8.25390625" style="43" customWidth="1"/>
    <col min="25" max="27" width="8.00390625" style="43" customWidth="1"/>
    <col min="28" max="28" width="8.625" style="43" customWidth="1"/>
    <col min="29" max="29" width="8.00390625" style="43" customWidth="1"/>
    <col min="30" max="30" width="7.875" style="43" customWidth="1"/>
    <col min="31" max="31" width="8.00390625" style="43" customWidth="1"/>
    <col min="32" max="33" width="8.125" style="43" customWidth="1"/>
    <col min="34" max="34" width="8.25390625" style="43" customWidth="1"/>
    <col min="35" max="36" width="8.125" style="43" customWidth="1"/>
    <col min="37" max="37" width="7.875" style="43" customWidth="1"/>
    <col min="38" max="38" width="8.00390625" style="43" customWidth="1"/>
    <col min="39" max="39" width="8.125" style="43" customWidth="1"/>
    <col min="40" max="40" width="7.875" style="43" customWidth="1"/>
    <col min="41" max="41" width="8.625" style="43" customWidth="1"/>
    <col min="42" max="42" width="7.25390625" style="43" customWidth="1"/>
    <col min="43" max="43" width="8.125" style="43" customWidth="1"/>
    <col min="44" max="44" width="7.75390625" style="43" customWidth="1"/>
    <col min="45" max="45" width="8.125" style="43" customWidth="1"/>
    <col min="46" max="46" width="7.625" style="43" customWidth="1"/>
    <col min="47" max="47" width="8.25390625" style="43" customWidth="1"/>
    <col min="48" max="49" width="8.00390625" style="43" customWidth="1"/>
    <col min="50" max="51" width="8.125" style="43" customWidth="1"/>
    <col min="52" max="52" width="8.00390625" style="43" customWidth="1"/>
    <col min="53" max="53" width="8.125" style="43" customWidth="1"/>
    <col min="54" max="54" width="7.25390625" style="43" customWidth="1"/>
    <col min="55" max="57" width="7.125" style="43" customWidth="1"/>
    <col min="58" max="58" width="7.00390625" style="43" customWidth="1"/>
    <col min="59" max="59" width="7.25390625" style="43" customWidth="1"/>
    <col min="60" max="60" width="7.375" style="43" customWidth="1"/>
    <col min="61" max="61" width="7.00390625" style="43" customWidth="1"/>
    <col min="62" max="63" width="7.25390625" style="43" customWidth="1"/>
    <col min="64" max="64" width="7.00390625" style="43" customWidth="1"/>
    <col min="65" max="65" width="7.125" style="43" customWidth="1"/>
    <col min="66" max="66" width="7.25390625" style="43" customWidth="1"/>
    <col min="67" max="67" width="7.875" style="43" customWidth="1"/>
    <col min="68" max="68" width="7.25390625" style="43" customWidth="1"/>
    <col min="69" max="69" width="8.125" style="43" customWidth="1"/>
    <col min="70" max="70" width="7.125" style="43" customWidth="1"/>
    <col min="71" max="73" width="7.875" style="43" customWidth="1"/>
    <col min="74" max="16384" width="9.00390625" style="43" customWidth="1"/>
  </cols>
  <sheetData>
    <row r="1" spans="1:16" ht="12.75">
      <c r="A1" s="181" t="s">
        <v>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2.7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73" s="47" customFormat="1" ht="12.75" customHeight="1">
      <c r="A3" s="182" t="s">
        <v>59</v>
      </c>
      <c r="B3" s="182" t="s">
        <v>60</v>
      </c>
      <c r="C3" s="182" t="s">
        <v>61</v>
      </c>
      <c r="D3" s="183">
        <v>2009</v>
      </c>
      <c r="E3" s="183"/>
      <c r="F3" s="183">
        <v>2010</v>
      </c>
      <c r="G3" s="183"/>
      <c r="H3" s="183">
        <v>2011</v>
      </c>
      <c r="I3" s="183"/>
      <c r="J3" s="183">
        <v>2012</v>
      </c>
      <c r="K3" s="183"/>
      <c r="L3" s="183">
        <v>2013</v>
      </c>
      <c r="M3" s="183"/>
      <c r="N3" s="183">
        <v>2014</v>
      </c>
      <c r="O3" s="183"/>
      <c r="P3" s="183">
        <v>2015</v>
      </c>
      <c r="Q3" s="183"/>
      <c r="R3" s="183">
        <v>2016</v>
      </c>
      <c r="S3" s="183"/>
      <c r="T3" s="183">
        <v>2017</v>
      </c>
      <c r="U3" s="183"/>
      <c r="V3" s="183">
        <v>2018</v>
      </c>
      <c r="W3" s="183"/>
      <c r="X3" s="183">
        <v>2019</v>
      </c>
      <c r="Y3" s="183"/>
      <c r="Z3" s="183">
        <v>2020</v>
      </c>
      <c r="AA3" s="183"/>
      <c r="AB3" s="183">
        <v>2021</v>
      </c>
      <c r="AC3" s="183"/>
      <c r="AD3" s="183">
        <v>2022</v>
      </c>
      <c r="AE3" s="183"/>
      <c r="AF3" s="183">
        <v>2023</v>
      </c>
      <c r="AG3" s="183"/>
      <c r="AH3" s="183">
        <v>2024</v>
      </c>
      <c r="AI3" s="183"/>
      <c r="AJ3" s="183">
        <v>2025</v>
      </c>
      <c r="AK3" s="183"/>
      <c r="AL3" s="183">
        <v>2026</v>
      </c>
      <c r="AM3" s="183"/>
      <c r="AN3" s="183">
        <v>2027</v>
      </c>
      <c r="AO3" s="183"/>
      <c r="AP3" s="183">
        <v>2028</v>
      </c>
      <c r="AQ3" s="183"/>
      <c r="AR3" s="183">
        <v>2029</v>
      </c>
      <c r="AS3" s="183"/>
      <c r="AT3" s="183">
        <v>2030</v>
      </c>
      <c r="AU3" s="183"/>
      <c r="AV3" s="183">
        <v>2031</v>
      </c>
      <c r="AW3" s="183"/>
      <c r="AX3" s="183">
        <v>2032</v>
      </c>
      <c r="AY3" s="183"/>
      <c r="AZ3" s="184">
        <v>2033</v>
      </c>
      <c r="BA3" s="184"/>
      <c r="BB3" s="184">
        <v>2034</v>
      </c>
      <c r="BC3" s="184"/>
      <c r="BD3" s="184">
        <v>2035</v>
      </c>
      <c r="BE3" s="184"/>
      <c r="BF3" s="184">
        <v>2036</v>
      </c>
      <c r="BG3" s="184"/>
      <c r="BH3" s="184">
        <v>2037</v>
      </c>
      <c r="BI3" s="184"/>
      <c r="BJ3" s="184">
        <v>2038</v>
      </c>
      <c r="BK3" s="184"/>
      <c r="BL3" s="184">
        <v>2039</v>
      </c>
      <c r="BM3" s="184"/>
      <c r="BN3" s="184">
        <v>2040</v>
      </c>
      <c r="BO3" s="184"/>
      <c r="BP3" s="184">
        <v>2041</v>
      </c>
      <c r="BQ3" s="184"/>
      <c r="BR3" s="184">
        <v>2042</v>
      </c>
      <c r="BS3" s="184"/>
      <c r="BT3" s="184">
        <v>2043</v>
      </c>
      <c r="BU3" s="184"/>
    </row>
    <row r="4" spans="1:73" s="47" customFormat="1" ht="12.75">
      <c r="A4" s="182"/>
      <c r="B4" s="182"/>
      <c r="C4" s="182"/>
      <c r="D4" s="45" t="s">
        <v>62</v>
      </c>
      <c r="E4" s="45" t="s">
        <v>63</v>
      </c>
      <c r="F4" s="45" t="s">
        <v>62</v>
      </c>
      <c r="G4" s="45" t="s">
        <v>63</v>
      </c>
      <c r="H4" s="45" t="s">
        <v>62</v>
      </c>
      <c r="I4" s="45" t="s">
        <v>63</v>
      </c>
      <c r="J4" s="45" t="s">
        <v>62</v>
      </c>
      <c r="K4" s="45" t="s">
        <v>63</v>
      </c>
      <c r="L4" s="45" t="s">
        <v>62</v>
      </c>
      <c r="M4" s="45" t="s">
        <v>63</v>
      </c>
      <c r="N4" s="45" t="s">
        <v>62</v>
      </c>
      <c r="O4" s="45" t="s">
        <v>63</v>
      </c>
      <c r="P4" s="45" t="s">
        <v>62</v>
      </c>
      <c r="Q4" s="45" t="s">
        <v>63</v>
      </c>
      <c r="R4" s="45" t="s">
        <v>62</v>
      </c>
      <c r="S4" s="45" t="s">
        <v>63</v>
      </c>
      <c r="T4" s="45" t="s">
        <v>62</v>
      </c>
      <c r="U4" s="45" t="s">
        <v>63</v>
      </c>
      <c r="V4" s="45" t="s">
        <v>62</v>
      </c>
      <c r="W4" s="45" t="s">
        <v>63</v>
      </c>
      <c r="X4" s="45" t="s">
        <v>62</v>
      </c>
      <c r="Y4" s="45" t="s">
        <v>63</v>
      </c>
      <c r="Z4" s="45" t="s">
        <v>62</v>
      </c>
      <c r="AA4" s="45" t="s">
        <v>63</v>
      </c>
      <c r="AB4" s="45" t="s">
        <v>62</v>
      </c>
      <c r="AC4" s="45" t="s">
        <v>63</v>
      </c>
      <c r="AD4" s="45" t="s">
        <v>62</v>
      </c>
      <c r="AE4" s="48" t="s">
        <v>63</v>
      </c>
      <c r="AF4" s="48" t="s">
        <v>62</v>
      </c>
      <c r="AG4" s="48" t="s">
        <v>63</v>
      </c>
      <c r="AH4" s="48" t="s">
        <v>62</v>
      </c>
      <c r="AI4" s="48" t="s">
        <v>63</v>
      </c>
      <c r="AJ4" s="48" t="s">
        <v>62</v>
      </c>
      <c r="AK4" s="48" t="s">
        <v>63</v>
      </c>
      <c r="AL4" s="48" t="s">
        <v>62</v>
      </c>
      <c r="AM4" s="48" t="s">
        <v>63</v>
      </c>
      <c r="AN4" s="48" t="s">
        <v>62</v>
      </c>
      <c r="AO4" s="48" t="s">
        <v>63</v>
      </c>
      <c r="AP4" s="48" t="s">
        <v>62</v>
      </c>
      <c r="AQ4" s="48" t="s">
        <v>63</v>
      </c>
      <c r="AR4" s="48" t="s">
        <v>62</v>
      </c>
      <c r="AS4" s="48" t="s">
        <v>63</v>
      </c>
      <c r="AT4" s="48" t="s">
        <v>62</v>
      </c>
      <c r="AU4" s="48" t="s">
        <v>63</v>
      </c>
      <c r="AV4" s="48" t="s">
        <v>62</v>
      </c>
      <c r="AW4" s="48" t="s">
        <v>63</v>
      </c>
      <c r="AX4" s="48" t="s">
        <v>62</v>
      </c>
      <c r="AY4" s="48" t="s">
        <v>63</v>
      </c>
      <c r="AZ4" s="46" t="s">
        <v>62</v>
      </c>
      <c r="BA4" s="46" t="s">
        <v>63</v>
      </c>
      <c r="BB4" s="46" t="s">
        <v>62</v>
      </c>
      <c r="BC4" s="46" t="s">
        <v>63</v>
      </c>
      <c r="BD4" s="46" t="s">
        <v>62</v>
      </c>
      <c r="BE4" s="46" t="s">
        <v>63</v>
      </c>
      <c r="BF4" s="46" t="s">
        <v>62</v>
      </c>
      <c r="BG4" s="46" t="s">
        <v>63</v>
      </c>
      <c r="BH4" s="46" t="s">
        <v>62</v>
      </c>
      <c r="BI4" s="46" t="s">
        <v>63</v>
      </c>
      <c r="BJ4" s="46" t="s">
        <v>62</v>
      </c>
      <c r="BK4" s="46" t="s">
        <v>63</v>
      </c>
      <c r="BL4" s="46" t="s">
        <v>62</v>
      </c>
      <c r="BM4" s="46" t="s">
        <v>63</v>
      </c>
      <c r="BN4" s="46" t="s">
        <v>62</v>
      </c>
      <c r="BO4" s="46" t="s">
        <v>63</v>
      </c>
      <c r="BP4" s="46" t="s">
        <v>62</v>
      </c>
      <c r="BQ4" s="46" t="s">
        <v>63</v>
      </c>
      <c r="BR4" s="46" t="s">
        <v>62</v>
      </c>
      <c r="BS4" s="46" t="s">
        <v>63</v>
      </c>
      <c r="BT4" s="46" t="s">
        <v>62</v>
      </c>
      <c r="BU4" s="46" t="s">
        <v>63</v>
      </c>
    </row>
    <row r="5" spans="1:73" ht="36" customHeight="1">
      <c r="A5" s="49" t="s">
        <v>64</v>
      </c>
      <c r="B5" s="50">
        <v>374480</v>
      </c>
      <c r="C5" s="51">
        <v>2017</v>
      </c>
      <c r="D5" s="51">
        <v>25553.83</v>
      </c>
      <c r="E5" s="51">
        <v>41232</v>
      </c>
      <c r="F5" s="51">
        <v>21373.39</v>
      </c>
      <c r="G5" s="51">
        <v>41232</v>
      </c>
      <c r="H5" s="51">
        <v>19148.69</v>
      </c>
      <c r="I5" s="51">
        <v>41232</v>
      </c>
      <c r="J5" s="51">
        <v>16242.67</v>
      </c>
      <c r="K5" s="51">
        <v>41232</v>
      </c>
      <c r="L5" s="51">
        <v>12837.16</v>
      </c>
      <c r="M5" s="51">
        <v>41232</v>
      </c>
      <c r="N5" s="51">
        <v>9658.9</v>
      </c>
      <c r="O5" s="51">
        <v>41232</v>
      </c>
      <c r="P5" s="51">
        <v>6479.9</v>
      </c>
      <c r="Q5" s="51">
        <v>41232</v>
      </c>
      <c r="R5" s="51">
        <v>3308.18</v>
      </c>
      <c r="S5" s="51">
        <v>41232</v>
      </c>
      <c r="T5" s="51">
        <v>461.6</v>
      </c>
      <c r="U5" s="51">
        <v>41232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</row>
    <row r="6" spans="1:73" ht="33" customHeight="1">
      <c r="A6" s="49" t="s">
        <v>65</v>
      </c>
      <c r="B6" s="50">
        <v>184000</v>
      </c>
      <c r="C6" s="51">
        <v>2012</v>
      </c>
      <c r="D6" s="51">
        <v>8349.05</v>
      </c>
      <c r="E6" s="51">
        <v>37428</v>
      </c>
      <c r="F6" s="51">
        <v>5742.87</v>
      </c>
      <c r="G6" s="51">
        <v>37428</v>
      </c>
      <c r="H6" s="51">
        <v>3134.92</v>
      </c>
      <c r="I6" s="51">
        <v>37428</v>
      </c>
      <c r="J6" s="51">
        <v>654.22</v>
      </c>
      <c r="K6" s="51">
        <v>24952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</row>
    <row r="7" spans="1:73" ht="30" customHeight="1">
      <c r="A7" s="49" t="s">
        <v>66</v>
      </c>
      <c r="B7" s="50">
        <v>550000</v>
      </c>
      <c r="C7" s="51">
        <v>2022</v>
      </c>
      <c r="D7" s="51">
        <v>4163.06</v>
      </c>
      <c r="E7" s="51">
        <v>7500</v>
      </c>
      <c r="F7" s="51">
        <v>15647.23</v>
      </c>
      <c r="G7" s="51">
        <v>30000</v>
      </c>
      <c r="H7" s="51">
        <v>14261.25</v>
      </c>
      <c r="I7" s="51">
        <v>30000</v>
      </c>
      <c r="J7" s="51">
        <v>12911.94</v>
      </c>
      <c r="K7" s="51">
        <v>30000</v>
      </c>
      <c r="L7" s="51">
        <v>11489.26</v>
      </c>
      <c r="M7" s="51">
        <v>30000</v>
      </c>
      <c r="N7" s="51">
        <v>10103.24</v>
      </c>
      <c r="O7" s="51">
        <v>30000</v>
      </c>
      <c r="P7" s="51">
        <v>8717.25</v>
      </c>
      <c r="Q7" s="51">
        <v>30000</v>
      </c>
      <c r="R7" s="51">
        <v>7352.76</v>
      </c>
      <c r="S7" s="51">
        <v>30000</v>
      </c>
      <c r="T7" s="51">
        <v>5945.25</v>
      </c>
      <c r="U7" s="51">
        <v>30000</v>
      </c>
      <c r="V7" s="51">
        <v>4559.24</v>
      </c>
      <c r="W7" s="51">
        <v>30000</v>
      </c>
      <c r="X7" s="51">
        <v>3173.25</v>
      </c>
      <c r="Y7" s="51">
        <v>30000</v>
      </c>
      <c r="Z7" s="51">
        <v>1793.56</v>
      </c>
      <c r="AA7" s="51">
        <v>30000</v>
      </c>
      <c r="AB7" s="51">
        <v>433.36</v>
      </c>
      <c r="AC7" s="53">
        <v>22500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2"/>
      <c r="BO7" s="52"/>
      <c r="BP7" s="52"/>
      <c r="BQ7" s="52"/>
      <c r="BR7" s="52"/>
      <c r="BS7" s="52"/>
      <c r="BT7" s="52"/>
      <c r="BU7" s="52"/>
    </row>
    <row r="8" spans="1:73" ht="37.5" customHeight="1">
      <c r="A8" s="49" t="s">
        <v>65</v>
      </c>
      <c r="B8" s="50">
        <v>100000</v>
      </c>
      <c r="C8" s="51">
        <v>2011</v>
      </c>
      <c r="D8" s="51">
        <v>6236.19</v>
      </c>
      <c r="E8" s="51">
        <v>42000</v>
      </c>
      <c r="F8" s="51">
        <v>2753.63</v>
      </c>
      <c r="G8" s="51">
        <v>42000</v>
      </c>
      <c r="H8" s="51">
        <v>143.08</v>
      </c>
      <c r="I8" s="51">
        <v>10500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3"/>
      <c r="AY8" s="53"/>
      <c r="AZ8" s="53"/>
      <c r="BA8" s="53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3"/>
      <c r="BU8" s="53"/>
    </row>
    <row r="9" spans="1:73" ht="39.75" customHeight="1">
      <c r="A9" s="49" t="s">
        <v>67</v>
      </c>
      <c r="B9" s="50">
        <v>560000</v>
      </c>
      <c r="C9" s="51">
        <v>2033</v>
      </c>
      <c r="D9" s="51">
        <v>79889.34</v>
      </c>
      <c r="E9" s="51">
        <v>40292.99</v>
      </c>
      <c r="F9" s="51">
        <v>78835.71</v>
      </c>
      <c r="G9" s="51">
        <v>45423.78</v>
      </c>
      <c r="H9" s="51">
        <v>77652.22</v>
      </c>
      <c r="I9" s="51">
        <v>50822.75</v>
      </c>
      <c r="J9" s="51">
        <v>76332.14</v>
      </c>
      <c r="K9" s="51">
        <v>56501.32</v>
      </c>
      <c r="L9" s="51">
        <v>74868.4</v>
      </c>
      <c r="M9" s="51">
        <v>62471.41</v>
      </c>
      <c r="N9" s="51">
        <v>73253.68</v>
      </c>
      <c r="O9" s="51">
        <v>68745.36</v>
      </c>
      <c r="P9" s="51">
        <v>71480.28</v>
      </c>
      <c r="Q9" s="51">
        <v>75336.05</v>
      </c>
      <c r="R9" s="51">
        <v>69540.26</v>
      </c>
      <c r="S9" s="51">
        <v>82256.79</v>
      </c>
      <c r="T9" s="51">
        <v>67425.3</v>
      </c>
      <c r="U9" s="51">
        <v>89521.44</v>
      </c>
      <c r="V9" s="51">
        <v>65126.72</v>
      </c>
      <c r="W9" s="51">
        <v>97144.41</v>
      </c>
      <c r="X9" s="51">
        <v>62635.5</v>
      </c>
      <c r="Y9" s="51">
        <v>105140.65</v>
      </c>
      <c r="Z9" s="51">
        <v>59942.24</v>
      </c>
      <c r="AA9" s="51">
        <v>113525.68</v>
      </c>
      <c r="AB9" s="51">
        <v>57037.15</v>
      </c>
      <c r="AC9" s="53">
        <v>122315.64</v>
      </c>
      <c r="AD9" s="53">
        <v>53910.03</v>
      </c>
      <c r="AE9" s="53">
        <v>131527.27</v>
      </c>
      <c r="AF9" s="53">
        <v>50550.27</v>
      </c>
      <c r="AG9" s="53">
        <v>141177.96</v>
      </c>
      <c r="AH9" s="53">
        <v>46946.79</v>
      </c>
      <c r="AI9" s="53">
        <v>151285.79</v>
      </c>
      <c r="AJ9" s="53">
        <v>43088.1</v>
      </c>
      <c r="AK9" s="53">
        <v>161869.48</v>
      </c>
      <c r="AL9" s="53">
        <v>38962.21</v>
      </c>
      <c r="AM9" s="53">
        <v>172948.52</v>
      </c>
      <c r="AN9" s="53">
        <v>34556.64</v>
      </c>
      <c r="AO9" s="53">
        <v>184543.12</v>
      </c>
      <c r="AP9" s="53">
        <v>29858.42</v>
      </c>
      <c r="AQ9" s="53">
        <v>196674.26</v>
      </c>
      <c r="AR9" s="53">
        <v>24854.05</v>
      </c>
      <c r="AS9" s="53">
        <v>209363.71</v>
      </c>
      <c r="AT9" s="53">
        <v>19529.45</v>
      </c>
      <c r="AU9" s="53">
        <v>222634.11</v>
      </c>
      <c r="AV9" s="53">
        <v>13870</v>
      </c>
      <c r="AW9" s="53">
        <v>236508.91</v>
      </c>
      <c r="AX9" s="53">
        <v>7860.51</v>
      </c>
      <c r="AY9" s="53">
        <v>251012.46</v>
      </c>
      <c r="AZ9" s="53">
        <v>1732.16</v>
      </c>
      <c r="BA9" s="53">
        <v>180769.83</v>
      </c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3"/>
      <c r="BU9" s="53"/>
    </row>
    <row r="10" spans="1:73" ht="39" customHeight="1">
      <c r="A10" s="49" t="s">
        <v>68</v>
      </c>
      <c r="B10" s="50">
        <v>230000</v>
      </c>
      <c r="C10" s="51">
        <v>2043</v>
      </c>
      <c r="D10" s="51">
        <v>54652.84</v>
      </c>
      <c r="E10" s="51">
        <v>9690.3</v>
      </c>
      <c r="F10" s="51">
        <v>55061.18</v>
      </c>
      <c r="G10" s="51">
        <v>8763.6</v>
      </c>
      <c r="H10" s="51">
        <v>55427.06</v>
      </c>
      <c r="I10" s="51">
        <v>7754.8</v>
      </c>
      <c r="J10" s="51">
        <v>55746.78</v>
      </c>
      <c r="K10" s="51">
        <v>6659.02</v>
      </c>
      <c r="L10" s="51">
        <v>56016.4</v>
      </c>
      <c r="M10" s="51">
        <v>5471.11</v>
      </c>
      <c r="N10" s="51">
        <v>56231.77</v>
      </c>
      <c r="O10" s="51">
        <v>4185.67</v>
      </c>
      <c r="P10" s="51">
        <v>56388.43</v>
      </c>
      <c r="Q10" s="51">
        <v>2796.97</v>
      </c>
      <c r="R10" s="51">
        <v>56481.79</v>
      </c>
      <c r="S10" s="51">
        <v>1299.07</v>
      </c>
      <c r="T10" s="51">
        <v>56506.85</v>
      </c>
      <c r="U10" s="51">
        <v>314.37</v>
      </c>
      <c r="V10" s="51">
        <v>56458.43</v>
      </c>
      <c r="W10" s="51">
        <v>2049.95</v>
      </c>
      <c r="X10" s="51">
        <v>56330.98</v>
      </c>
      <c r="Y10" s="51">
        <v>3914.64</v>
      </c>
      <c r="Z10" s="51">
        <v>56118.68</v>
      </c>
      <c r="AA10" s="51">
        <v>5915.78</v>
      </c>
      <c r="AB10" s="51">
        <v>55815.38</v>
      </c>
      <c r="AC10" s="53">
        <v>8061.02</v>
      </c>
      <c r="AD10" s="53">
        <v>55414.56</v>
      </c>
      <c r="AE10" s="53">
        <v>10358.48</v>
      </c>
      <c r="AF10" s="53">
        <v>54908.96</v>
      </c>
      <c r="AG10" s="53">
        <v>12869.62</v>
      </c>
      <c r="AH10" s="53">
        <v>54284.53</v>
      </c>
      <c r="AI10" s="53">
        <v>15775.68</v>
      </c>
      <c r="AJ10" s="53">
        <v>53527.29</v>
      </c>
      <c r="AK10" s="53">
        <v>18909.7</v>
      </c>
      <c r="AL10" s="53">
        <v>52627.56</v>
      </c>
      <c r="AM10" s="53">
        <v>22266.84</v>
      </c>
      <c r="AN10" s="53">
        <v>51575.27</v>
      </c>
      <c r="AO10" s="53">
        <v>25859.91</v>
      </c>
      <c r="AP10" s="53">
        <v>50359.76</v>
      </c>
      <c r="AQ10" s="53">
        <v>29702.39</v>
      </c>
      <c r="AR10" s="53">
        <v>48969.75</v>
      </c>
      <c r="AS10" s="53">
        <v>33808.5</v>
      </c>
      <c r="AT10" s="53">
        <v>47393.34</v>
      </c>
      <c r="AU10" s="53">
        <v>38193.14</v>
      </c>
      <c r="AV10" s="53">
        <v>45617.95</v>
      </c>
      <c r="AW10" s="53">
        <v>42872.04</v>
      </c>
      <c r="AX10" s="53">
        <v>43630.3</v>
      </c>
      <c r="AY10" s="53">
        <v>47861.7</v>
      </c>
      <c r="AZ10" s="53">
        <v>41416.33</v>
      </c>
      <c r="BA10" s="53">
        <v>53179.51</v>
      </c>
      <c r="BB10" s="53">
        <v>38961.25</v>
      </c>
      <c r="BC10" s="53">
        <v>58843.74</v>
      </c>
      <c r="BD10" s="53">
        <v>36249.4</v>
      </c>
      <c r="BE10" s="53">
        <v>64873.61</v>
      </c>
      <c r="BF10" s="53">
        <v>33264.3</v>
      </c>
      <c r="BG10" s="53">
        <v>71289.29</v>
      </c>
      <c r="BH10" s="53">
        <v>29988.49</v>
      </c>
      <c r="BI10" s="53">
        <v>78112.06</v>
      </c>
      <c r="BJ10" s="53">
        <v>26404.91</v>
      </c>
      <c r="BK10" s="53">
        <v>85189.22</v>
      </c>
      <c r="BL10" s="53">
        <v>22516.57</v>
      </c>
      <c r="BM10" s="53">
        <v>91976.7</v>
      </c>
      <c r="BN10" s="53">
        <v>18323.84</v>
      </c>
      <c r="BO10" s="53">
        <v>99084.15</v>
      </c>
      <c r="BP10" s="53">
        <v>13810.2</v>
      </c>
      <c r="BQ10" s="53">
        <v>106586.71</v>
      </c>
      <c r="BR10" s="53">
        <v>8957.83</v>
      </c>
      <c r="BS10" s="53">
        <v>114504.08</v>
      </c>
      <c r="BT10" s="53">
        <v>17258.8</v>
      </c>
      <c r="BU10" s="53">
        <v>140720.71</v>
      </c>
    </row>
    <row r="11" spans="1:73" ht="38.25" customHeight="1">
      <c r="A11" s="49" t="s">
        <v>69</v>
      </c>
      <c r="B11" s="50">
        <v>198000</v>
      </c>
      <c r="C11" s="51">
        <v>2030</v>
      </c>
      <c r="D11" s="51">
        <v>68505.52</v>
      </c>
      <c r="E11" s="51">
        <v>19710.28</v>
      </c>
      <c r="F11" s="51">
        <v>67755.41</v>
      </c>
      <c r="G11" s="51">
        <v>24244.9</v>
      </c>
      <c r="H11" s="51">
        <v>66851.41</v>
      </c>
      <c r="I11" s="51">
        <v>29048.15</v>
      </c>
      <c r="J11" s="51">
        <v>65764.52</v>
      </c>
      <c r="K11" s="51">
        <v>34199.55</v>
      </c>
      <c r="L11" s="51">
        <v>64500.88</v>
      </c>
      <c r="M11" s="51">
        <v>39699.98</v>
      </c>
      <c r="N11" s="51">
        <v>63041.94</v>
      </c>
      <c r="O11" s="51">
        <v>45575.26</v>
      </c>
      <c r="P11" s="51">
        <v>61374.55</v>
      </c>
      <c r="Q11" s="51">
        <v>51846.18</v>
      </c>
      <c r="R11" s="51">
        <v>59484.49</v>
      </c>
      <c r="S11" s="51">
        <v>58534.88</v>
      </c>
      <c r="T11" s="51">
        <v>57357.28</v>
      </c>
      <c r="U11" s="51">
        <v>65664.11</v>
      </c>
      <c r="V11" s="51">
        <v>54977.25</v>
      </c>
      <c r="W11" s="51">
        <v>73258.16</v>
      </c>
      <c r="X11" s="51">
        <v>44934.07</v>
      </c>
      <c r="Y11" s="51">
        <v>88736.34</v>
      </c>
      <c r="Z11" s="51">
        <v>42190.84</v>
      </c>
      <c r="AA11" s="51">
        <v>97144.93</v>
      </c>
      <c r="AB11" s="51">
        <v>39191.71</v>
      </c>
      <c r="AC11" s="53">
        <v>106049.53</v>
      </c>
      <c r="AD11" s="53">
        <v>35981.63</v>
      </c>
      <c r="AE11" s="53">
        <v>115415.38</v>
      </c>
      <c r="AF11" s="53">
        <v>32364.780000000002</v>
      </c>
      <c r="AG11" s="53">
        <v>125448.89</v>
      </c>
      <c r="AH11" s="53">
        <v>28504.58</v>
      </c>
      <c r="AI11" s="53">
        <v>135997.71</v>
      </c>
      <c r="AJ11" s="53">
        <v>24323.58</v>
      </c>
      <c r="AK11" s="53">
        <v>147150.82</v>
      </c>
      <c r="AL11" s="53">
        <v>19803.45</v>
      </c>
      <c r="AM11" s="53">
        <v>158938.56</v>
      </c>
      <c r="AN11" s="53">
        <v>14924.94</v>
      </c>
      <c r="AO11" s="53">
        <v>171392.69</v>
      </c>
      <c r="AP11" s="53">
        <v>9667.89</v>
      </c>
      <c r="AQ11" s="53">
        <v>184546.45</v>
      </c>
      <c r="AR11" s="53">
        <v>4011.05</v>
      </c>
      <c r="AS11" s="53">
        <v>198434.68</v>
      </c>
      <c r="AT11" s="53">
        <v>4100.34</v>
      </c>
      <c r="AU11" s="53">
        <v>26698.59</v>
      </c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</row>
    <row r="12" spans="1:140" ht="39" customHeight="1">
      <c r="A12" s="54" t="s">
        <v>70</v>
      </c>
      <c r="B12" s="55">
        <v>127270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</row>
    <row r="13" spans="1:75" s="56" customFormat="1" ht="17.25" customHeight="1">
      <c r="A13" s="57" t="s">
        <v>71</v>
      </c>
      <c r="B13" s="53">
        <f>SUM(B5:B12)</f>
        <v>2323750</v>
      </c>
      <c r="C13" s="53"/>
      <c r="D13" s="53">
        <f aca="true" t="shared" si="0" ref="D13:Y13">SUM(D5:D12)</f>
        <v>247349.83000000002</v>
      </c>
      <c r="E13" s="50">
        <f t="shared" si="0"/>
        <v>197853.56999999998</v>
      </c>
      <c r="F13" s="50">
        <f t="shared" si="0"/>
        <v>247169.42</v>
      </c>
      <c r="G13" s="50">
        <f t="shared" si="0"/>
        <v>229092.28</v>
      </c>
      <c r="H13" s="50">
        <f t="shared" si="0"/>
        <v>236618.63</v>
      </c>
      <c r="I13" s="50">
        <f t="shared" si="0"/>
        <v>206785.69999999998</v>
      </c>
      <c r="J13" s="50">
        <f t="shared" si="0"/>
        <v>227652.27000000002</v>
      </c>
      <c r="K13" s="50">
        <f t="shared" si="0"/>
        <v>193543.89</v>
      </c>
      <c r="L13" s="50">
        <f t="shared" si="0"/>
        <v>219712.1</v>
      </c>
      <c r="M13" s="50">
        <f t="shared" si="0"/>
        <v>178874.5</v>
      </c>
      <c r="N13" s="50">
        <f t="shared" si="0"/>
        <v>212289.53</v>
      </c>
      <c r="O13" s="50">
        <f t="shared" si="0"/>
        <v>189738.29</v>
      </c>
      <c r="P13" s="50">
        <f t="shared" si="0"/>
        <v>204440.40999999997</v>
      </c>
      <c r="Q13" s="50">
        <f t="shared" si="0"/>
        <v>201211.19999999998</v>
      </c>
      <c r="R13" s="50">
        <f t="shared" si="0"/>
        <v>196167.47999999998</v>
      </c>
      <c r="S13" s="50">
        <f t="shared" si="0"/>
        <v>213322.74</v>
      </c>
      <c r="T13" s="50">
        <f t="shared" si="0"/>
        <v>187696.28</v>
      </c>
      <c r="U13" s="50">
        <f t="shared" si="0"/>
        <v>226731.91999999998</v>
      </c>
      <c r="V13" s="50">
        <f t="shared" si="0"/>
        <v>181121.64</v>
      </c>
      <c r="W13" s="50">
        <f t="shared" si="0"/>
        <v>202452.52000000002</v>
      </c>
      <c r="X13" s="50">
        <f t="shared" si="0"/>
        <v>167073.80000000002</v>
      </c>
      <c r="Y13" s="50">
        <f t="shared" si="0"/>
        <v>227791.63</v>
      </c>
      <c r="Z13" s="50">
        <f>SUM(Z6:Z12)</f>
        <v>160045.32</v>
      </c>
      <c r="AA13" s="50">
        <f>SUM(AA5:AA12)</f>
        <v>246586.38999999998</v>
      </c>
      <c r="AB13" s="50">
        <f>SUM(AB5:AB12)</f>
        <v>152477.6</v>
      </c>
      <c r="AC13" s="50">
        <f>SUM(AC6:AC12)</f>
        <v>258926.19</v>
      </c>
      <c r="AD13" s="50">
        <f>SUM(AD6:AD12)</f>
        <v>145306.22</v>
      </c>
      <c r="AE13" s="50">
        <f>SUM(AE6:AE12)</f>
        <v>257301.13</v>
      </c>
      <c r="AF13" s="50">
        <f>SUM(AF6:AF12)</f>
        <v>137824.01</v>
      </c>
      <c r="AG13" s="50">
        <f>SUM(AG7:AG12)</f>
        <v>279496.47</v>
      </c>
      <c r="AH13" s="50">
        <f>SUM(AH7:AH12)</f>
        <v>129735.90000000001</v>
      </c>
      <c r="AI13" s="50">
        <f>SUM(AI7:AI12)</f>
        <v>303059.18</v>
      </c>
      <c r="AJ13" s="50">
        <f>SUM(AJ5:AJ12)</f>
        <v>120938.97</v>
      </c>
      <c r="AK13" s="50">
        <f aca="true" t="shared" si="1" ref="AK13:BA13">SUM(AK9:AK12)</f>
        <v>327930</v>
      </c>
      <c r="AL13" s="50">
        <f t="shared" si="1"/>
        <v>111393.21999999999</v>
      </c>
      <c r="AM13" s="50">
        <f t="shared" si="1"/>
        <v>354153.92</v>
      </c>
      <c r="AN13" s="50">
        <f t="shared" si="1"/>
        <v>101056.85</v>
      </c>
      <c r="AO13" s="50">
        <f t="shared" si="1"/>
        <v>381795.72</v>
      </c>
      <c r="AP13" s="50">
        <f t="shared" si="1"/>
        <v>89886.06999999999</v>
      </c>
      <c r="AQ13" s="50">
        <f t="shared" si="1"/>
        <v>410923.10000000003</v>
      </c>
      <c r="AR13" s="50">
        <f t="shared" si="1"/>
        <v>77834.85</v>
      </c>
      <c r="AS13" s="50">
        <f t="shared" si="1"/>
        <v>441606.89</v>
      </c>
      <c r="AT13" s="50">
        <f t="shared" si="1"/>
        <v>71023.12999999999</v>
      </c>
      <c r="AU13" s="50">
        <f t="shared" si="1"/>
        <v>287525.84</v>
      </c>
      <c r="AV13" s="50">
        <f t="shared" si="1"/>
        <v>59487.95</v>
      </c>
      <c r="AW13" s="50">
        <f t="shared" si="1"/>
        <v>279380.95</v>
      </c>
      <c r="AX13" s="50">
        <f t="shared" si="1"/>
        <v>51490.810000000005</v>
      </c>
      <c r="AY13" s="50">
        <f t="shared" si="1"/>
        <v>298874.16</v>
      </c>
      <c r="AZ13" s="50">
        <f t="shared" si="1"/>
        <v>43148.490000000005</v>
      </c>
      <c r="BA13" s="50">
        <f t="shared" si="1"/>
        <v>233949.34</v>
      </c>
      <c r="BB13" s="50">
        <f aca="true" t="shared" si="2" ref="BB13:BU13">SUM(BB10:BB12)</f>
        <v>38961.25</v>
      </c>
      <c r="BC13" s="50">
        <f t="shared" si="2"/>
        <v>58843.74</v>
      </c>
      <c r="BD13" s="50">
        <f t="shared" si="2"/>
        <v>36249.4</v>
      </c>
      <c r="BE13" s="50">
        <f t="shared" si="2"/>
        <v>64873.61</v>
      </c>
      <c r="BF13" s="50">
        <f t="shared" si="2"/>
        <v>33264.3</v>
      </c>
      <c r="BG13" s="50">
        <f t="shared" si="2"/>
        <v>71289.29</v>
      </c>
      <c r="BH13" s="50">
        <f t="shared" si="2"/>
        <v>29988.49</v>
      </c>
      <c r="BI13" s="50">
        <f t="shared" si="2"/>
        <v>78112.06</v>
      </c>
      <c r="BJ13" s="50">
        <f t="shared" si="2"/>
        <v>26404.91</v>
      </c>
      <c r="BK13" s="50">
        <f t="shared" si="2"/>
        <v>85189.22</v>
      </c>
      <c r="BL13" s="50">
        <f t="shared" si="2"/>
        <v>22516.57</v>
      </c>
      <c r="BM13" s="50">
        <f t="shared" si="2"/>
        <v>91976.7</v>
      </c>
      <c r="BN13" s="50">
        <f t="shared" si="2"/>
        <v>18323.84</v>
      </c>
      <c r="BO13" s="50">
        <f t="shared" si="2"/>
        <v>99084.15</v>
      </c>
      <c r="BP13" s="50">
        <f t="shared" si="2"/>
        <v>13810.2</v>
      </c>
      <c r="BQ13" s="50">
        <f t="shared" si="2"/>
        <v>106586.71</v>
      </c>
      <c r="BR13" s="50">
        <f t="shared" si="2"/>
        <v>8957.83</v>
      </c>
      <c r="BS13" s="50">
        <f t="shared" si="2"/>
        <v>114504.08</v>
      </c>
      <c r="BT13" s="50">
        <f t="shared" si="2"/>
        <v>17258.8</v>
      </c>
      <c r="BU13" s="50">
        <f t="shared" si="2"/>
        <v>140720.71</v>
      </c>
      <c r="BV13" s="58"/>
      <c r="BW13" s="58"/>
    </row>
    <row r="14" spans="1:75" s="44" customFormat="1" ht="17.25" customHeight="1">
      <c r="A14" s="45" t="s">
        <v>72</v>
      </c>
      <c r="B14" s="59"/>
      <c r="C14" s="59"/>
      <c r="D14" s="185">
        <f>D13+E13</f>
        <v>445203.4</v>
      </c>
      <c r="E14" s="185"/>
      <c r="F14" s="185">
        <f>F13+G13</f>
        <v>476261.7</v>
      </c>
      <c r="G14" s="185"/>
      <c r="H14" s="185">
        <f>H13+I13</f>
        <v>443404.32999999996</v>
      </c>
      <c r="I14" s="185"/>
      <c r="J14" s="185">
        <f>J13+K13</f>
        <v>421196.16000000003</v>
      </c>
      <c r="K14" s="185"/>
      <c r="L14" s="185">
        <f>L13+M13</f>
        <v>398586.6</v>
      </c>
      <c r="M14" s="185"/>
      <c r="N14" s="185">
        <f>N13+O13</f>
        <v>402027.82</v>
      </c>
      <c r="O14" s="185"/>
      <c r="P14" s="185">
        <f>P13+Q13</f>
        <v>405651.61</v>
      </c>
      <c r="Q14" s="185"/>
      <c r="R14" s="185">
        <f>R13+S13</f>
        <v>409490.22</v>
      </c>
      <c r="S14" s="185"/>
      <c r="T14" s="185">
        <f>T13+U13</f>
        <v>414428.19999999995</v>
      </c>
      <c r="U14" s="185"/>
      <c r="V14" s="185">
        <f>V13+W13</f>
        <v>383574.16000000003</v>
      </c>
      <c r="W14" s="185"/>
      <c r="X14" s="185">
        <f>X13+Y13</f>
        <v>394865.43000000005</v>
      </c>
      <c r="Y14" s="185"/>
      <c r="Z14" s="185">
        <f>Z13+AA13</f>
        <v>406631.70999999996</v>
      </c>
      <c r="AA14" s="185"/>
      <c r="AB14" s="185">
        <f>AB13+AC13</f>
        <v>411403.79000000004</v>
      </c>
      <c r="AC14" s="185"/>
      <c r="AD14" s="185">
        <f>AD13+AE13</f>
        <v>402607.35</v>
      </c>
      <c r="AE14" s="185"/>
      <c r="AF14" s="185">
        <f>AF13+AG13</f>
        <v>417320.48</v>
      </c>
      <c r="AG14" s="185"/>
      <c r="AH14" s="185">
        <f>AH13+AI13</f>
        <v>432795.08</v>
      </c>
      <c r="AI14" s="185"/>
      <c r="AJ14" s="185">
        <f>AJ13+AK13</f>
        <v>448868.97</v>
      </c>
      <c r="AK14" s="185"/>
      <c r="AL14" s="185">
        <f>AL13+AM13</f>
        <v>465547.13999999996</v>
      </c>
      <c r="AM14" s="185"/>
      <c r="AN14" s="185">
        <f>AN13+AO13</f>
        <v>482852.56999999995</v>
      </c>
      <c r="AO14" s="185"/>
      <c r="AP14" s="185">
        <f>AP13+AQ13</f>
        <v>500809.17000000004</v>
      </c>
      <c r="AQ14" s="185"/>
      <c r="AR14" s="185">
        <f>AR13+AS13</f>
        <v>519441.74</v>
      </c>
      <c r="AS14" s="185"/>
      <c r="AT14" s="185">
        <f>AT13+AU13</f>
        <v>358548.97000000003</v>
      </c>
      <c r="AU14" s="185"/>
      <c r="AV14" s="185">
        <f>AV13+AW13</f>
        <v>338868.9</v>
      </c>
      <c r="AW14" s="185"/>
      <c r="AX14" s="185">
        <f>AX13+AY13</f>
        <v>350364.97</v>
      </c>
      <c r="AY14" s="185"/>
      <c r="AZ14" s="185">
        <f>AZ13+BA13</f>
        <v>277097.83</v>
      </c>
      <c r="BA14" s="185"/>
      <c r="BB14" s="185">
        <f>BB13+BC13</f>
        <v>97804.98999999999</v>
      </c>
      <c r="BC14" s="185"/>
      <c r="BD14" s="185">
        <f>BD13+BE13</f>
        <v>101123.01000000001</v>
      </c>
      <c r="BE14" s="185"/>
      <c r="BF14" s="185">
        <f>BF13+BG13</f>
        <v>104553.59</v>
      </c>
      <c r="BG14" s="185"/>
      <c r="BH14" s="185">
        <f>BH13+BI13</f>
        <v>108100.55</v>
      </c>
      <c r="BI14" s="185"/>
      <c r="BJ14" s="185">
        <f>BJ13+BK13</f>
        <v>111594.13</v>
      </c>
      <c r="BK14" s="185"/>
      <c r="BL14" s="185">
        <f>BL13+BM13</f>
        <v>114493.26999999999</v>
      </c>
      <c r="BM14" s="185"/>
      <c r="BN14" s="185">
        <f>BN13+BO13</f>
        <v>117407.98999999999</v>
      </c>
      <c r="BO14" s="185"/>
      <c r="BP14" s="185">
        <f>BP13+BQ13</f>
        <v>120396.91</v>
      </c>
      <c r="BQ14" s="185"/>
      <c r="BR14" s="185">
        <f>BR13+BS13</f>
        <v>123461.91</v>
      </c>
      <c r="BS14" s="185"/>
      <c r="BT14" s="185">
        <f>BT13+BU13</f>
        <v>157979.50999999998</v>
      </c>
      <c r="BU14" s="185"/>
      <c r="BV14" s="60"/>
      <c r="BW14" s="60"/>
    </row>
    <row r="15" spans="1:82" ht="12.75">
      <c r="A15" s="61"/>
      <c r="B15" s="61"/>
      <c r="C15" s="61"/>
      <c r="D15" s="62"/>
      <c r="E15" s="5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56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</row>
    <row r="16" spans="1:53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56"/>
      <c r="AZ16" s="56"/>
      <c r="BA16" s="56"/>
    </row>
    <row r="17" spans="1:53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56"/>
      <c r="AZ17" s="56"/>
      <c r="BA17" s="56"/>
    </row>
    <row r="18" spans="1:53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56"/>
      <c r="AZ18" s="56"/>
      <c r="BA18" s="56"/>
    </row>
    <row r="19" spans="1:53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56"/>
      <c r="AZ19" s="56"/>
      <c r="BA19" s="56"/>
    </row>
    <row r="20" spans="1:53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3"/>
      <c r="AR20" s="63"/>
      <c r="AS20" s="63"/>
      <c r="AT20" s="63"/>
      <c r="AU20" s="63"/>
      <c r="AV20" s="63"/>
      <c r="AW20" s="63"/>
      <c r="AX20" s="63"/>
      <c r="AY20" s="56"/>
      <c r="AZ20" s="56"/>
      <c r="BA20" s="56"/>
    </row>
    <row r="21" spans="1:53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3"/>
      <c r="AR21" s="63"/>
      <c r="AS21" s="63"/>
      <c r="AT21" s="63"/>
      <c r="AU21" s="63"/>
      <c r="AV21" s="63"/>
      <c r="AW21" s="63"/>
      <c r="AX21" s="63"/>
      <c r="AY21" s="56"/>
      <c r="AZ21" s="56"/>
      <c r="BA21" s="56"/>
    </row>
    <row r="22" spans="1:53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3"/>
      <c r="AR22" s="63"/>
      <c r="AS22" s="63"/>
      <c r="AT22" s="63"/>
      <c r="AU22" s="63"/>
      <c r="AV22" s="63"/>
      <c r="AW22" s="63"/>
      <c r="AX22" s="63"/>
      <c r="AY22" s="56"/>
      <c r="AZ22" s="56"/>
      <c r="BA22" s="56"/>
    </row>
    <row r="23" spans="1:53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3"/>
      <c r="AR23" s="63"/>
      <c r="AS23" s="63"/>
      <c r="AT23" s="63"/>
      <c r="AU23" s="63"/>
      <c r="AV23" s="63"/>
      <c r="AW23" s="63"/>
      <c r="AX23" s="63"/>
      <c r="AY23" s="56"/>
      <c r="AZ23" s="56"/>
      <c r="BA23" s="56"/>
    </row>
    <row r="24" spans="1:53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3"/>
      <c r="AR24" s="63"/>
      <c r="AS24" s="63"/>
      <c r="AT24" s="63"/>
      <c r="AU24" s="63"/>
      <c r="AV24" s="63"/>
      <c r="AW24" s="63"/>
      <c r="AX24" s="63"/>
      <c r="AY24" s="56"/>
      <c r="AZ24" s="56"/>
      <c r="BA24" s="56"/>
    </row>
    <row r="25" spans="1:50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</row>
    <row r="28" spans="1:50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</row>
    <row r="30" spans="22:50" ht="12.75"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22:50" ht="12.75"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22:50" ht="12.75"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22:50" ht="12.75"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22:50" ht="12.75"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22:50" ht="12.75"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22:50" ht="12.75"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22:50" ht="12.75"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22:50" ht="12.75"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22:50" ht="12.75"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</sheetData>
  <sheetProtection/>
  <mergeCells count="74">
    <mergeCell ref="BJ14:BK14"/>
    <mergeCell ref="BL14:BM14"/>
    <mergeCell ref="BN14:BO14"/>
    <mergeCell ref="BP14:BQ14"/>
    <mergeCell ref="BR14:BS14"/>
    <mergeCell ref="BT14:BU14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BL3:BM3"/>
    <mergeCell ref="BN3:BO3"/>
    <mergeCell ref="BP3:BQ3"/>
    <mergeCell ref="BR3:BS3"/>
    <mergeCell ref="BT3:BU3"/>
    <mergeCell ref="D14:E14"/>
    <mergeCell ref="F14:G14"/>
    <mergeCell ref="H14:I14"/>
    <mergeCell ref="J14:K14"/>
    <mergeCell ref="L14:M14"/>
    <mergeCell ref="AZ3:BA3"/>
    <mergeCell ref="BB3:BC3"/>
    <mergeCell ref="BD3:BE3"/>
    <mergeCell ref="BF3:BG3"/>
    <mergeCell ref="BH3:BI3"/>
    <mergeCell ref="BJ3:BK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A1:P2"/>
    <mergeCell ref="A3:A4"/>
    <mergeCell ref="B3:B4"/>
    <mergeCell ref="C3:C4"/>
    <mergeCell ref="D3:E3"/>
    <mergeCell ref="F3:G3"/>
    <mergeCell ref="H3:I3"/>
    <mergeCell ref="J3:K3"/>
    <mergeCell ref="L3:M3"/>
    <mergeCell ref="N3:O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"/>
  <sheetViews>
    <sheetView showGridLines="0" defaultGridColor="0" view="pageBreakPreview" zoomScale="80" zoomScaleSheetLayoutView="80" zoomScalePageLayoutView="0" colorId="15" workbookViewId="0" topLeftCell="A1">
      <selection activeCell="C7" activeCellId="1" sqref="O44:T44 C7"/>
    </sheetView>
  </sheetViews>
  <sheetFormatPr defaultColWidth="11.625" defaultRowHeight="12.75"/>
  <cols>
    <col min="1" max="1" width="2.75390625" style="65" customWidth="1"/>
    <col min="2" max="2" width="53.25390625" style="66" customWidth="1"/>
    <col min="3" max="3" width="17.25390625" style="65" customWidth="1"/>
    <col min="4" max="4" width="11.625" style="66" customWidth="1"/>
    <col min="5" max="16384" width="11.625" style="65" customWidth="1"/>
  </cols>
  <sheetData>
    <row r="2" spans="1:4" s="69" customFormat="1" ht="42.75">
      <c r="A2" s="67"/>
      <c r="B2" s="68" t="s">
        <v>73</v>
      </c>
      <c r="C2" s="68" t="s">
        <v>74</v>
      </c>
      <c r="D2" s="68" t="s">
        <v>75</v>
      </c>
    </row>
    <row r="3" spans="1:4" ht="15">
      <c r="A3" s="70">
        <v>1</v>
      </c>
      <c r="B3" s="71" t="s">
        <v>76</v>
      </c>
      <c r="C3" s="72">
        <f>'[1]zał 2'!E35+'[1]zał 2'!E14</f>
        <v>20566809</v>
      </c>
      <c r="D3" s="73">
        <f>C3/$C$8*100</f>
        <v>50.106874299670935</v>
      </c>
    </row>
    <row r="4" spans="1:4" ht="15">
      <c r="A4" s="70">
        <v>2</v>
      </c>
      <c r="B4" s="74" t="s">
        <v>77</v>
      </c>
      <c r="C4" s="72">
        <f>'[1]zał 2'!E72</f>
        <v>12998024</v>
      </c>
      <c r="D4" s="73">
        <f>C4/$C$8*100</f>
        <v>31.667059032449124</v>
      </c>
    </row>
    <row r="5" spans="1:4" ht="45">
      <c r="A5" s="70">
        <v>3</v>
      </c>
      <c r="B5" s="74" t="s">
        <v>78</v>
      </c>
      <c r="C5" s="72">
        <f>'[1]zał 3'!E19+'[1]zał 4'!E10</f>
        <v>5796800</v>
      </c>
      <c r="D5" s="73">
        <f>C5/$C$8*100</f>
        <v>14.122731870575182</v>
      </c>
    </row>
    <row r="6" spans="1:4" ht="60">
      <c r="A6" s="70">
        <v>4</v>
      </c>
      <c r="B6" s="74" t="s">
        <v>79</v>
      </c>
      <c r="C6" s="72">
        <f>'[1]zał 5'!E13</f>
        <v>1018250</v>
      </c>
      <c r="D6" s="73">
        <f>C6/$C$8*100</f>
        <v>2.4807603724836422</v>
      </c>
    </row>
    <row r="7" spans="1:4" ht="15">
      <c r="A7" s="70">
        <v>5</v>
      </c>
      <c r="B7" s="70" t="s">
        <v>80</v>
      </c>
      <c r="C7" s="72">
        <f>'[1]zał 1'!C17</f>
        <v>666000</v>
      </c>
      <c r="D7" s="73">
        <f>C7/$C$8*100</f>
        <v>1.6225744248211202</v>
      </c>
    </row>
    <row r="8" spans="1:4" s="79" customFormat="1" ht="14.25">
      <c r="A8" s="75"/>
      <c r="B8" s="76"/>
      <c r="C8" s="77">
        <f>SUM(C3:C7)</f>
        <v>41045883</v>
      </c>
      <c r="D8" s="78">
        <f>SUM(D3:D7)</f>
        <v>100.00000000000001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showGridLines="0" defaultGridColor="0" view="pageBreakPreview" zoomScale="80" zoomScaleSheetLayoutView="80" zoomScalePageLayoutView="0" colorId="15" workbookViewId="0" topLeftCell="A1">
      <selection activeCell="D18" activeCellId="1" sqref="O44:T44 D18"/>
    </sheetView>
  </sheetViews>
  <sheetFormatPr defaultColWidth="11.75390625" defaultRowHeight="12.75"/>
  <cols>
    <col min="1" max="1" width="6.75390625" style="1" customWidth="1"/>
    <col min="2" max="2" width="7.375" style="1" customWidth="1"/>
    <col min="3" max="3" width="6.25390625" style="1" customWidth="1"/>
    <col min="4" max="4" width="64.75390625" style="2" customWidth="1"/>
    <col min="5" max="5" width="17.125" style="3" customWidth="1"/>
    <col min="6" max="16384" width="11.75390625" style="1" customWidth="1"/>
  </cols>
  <sheetData>
    <row r="1" spans="1:6" ht="15.75">
      <c r="A1" s="4"/>
      <c r="B1" s="4"/>
      <c r="C1" s="4"/>
      <c r="D1" s="5"/>
      <c r="E1" s="4"/>
      <c r="F1" s="4"/>
    </row>
    <row r="2" spans="1:5" s="7" customFormat="1" ht="15" customHeight="1">
      <c r="A2" s="178" t="s">
        <v>81</v>
      </c>
      <c r="B2" s="178"/>
      <c r="C2" s="178"/>
      <c r="D2" s="178"/>
      <c r="E2" s="178"/>
    </row>
    <row r="3" spans="1:5" s="7" customFormat="1" ht="15.75">
      <c r="A3" s="6"/>
      <c r="B3" s="6"/>
      <c r="C3" s="6"/>
      <c r="D3" s="6"/>
      <c r="E3" s="8" t="s">
        <v>1</v>
      </c>
    </row>
    <row r="4" spans="1:5" s="9" customFormat="1" ht="15" customHeight="1">
      <c r="A4" s="179" t="s">
        <v>2</v>
      </c>
      <c r="B4" s="180" t="s">
        <v>3</v>
      </c>
      <c r="C4" s="180" t="s">
        <v>4</v>
      </c>
      <c r="D4" s="180" t="s">
        <v>5</v>
      </c>
      <c r="E4" s="180" t="s">
        <v>6</v>
      </c>
    </row>
    <row r="5" spans="1:5" s="9" customFormat="1" ht="12.75">
      <c r="A5" s="179"/>
      <c r="B5" s="180"/>
      <c r="C5" s="180"/>
      <c r="D5" s="180"/>
      <c r="E5" s="180"/>
    </row>
    <row r="6" spans="1:5" s="9" customFormat="1" ht="12.75">
      <c r="A6" s="10" t="s">
        <v>7</v>
      </c>
      <c r="B6" s="11">
        <v>2</v>
      </c>
      <c r="C6" s="11">
        <v>3</v>
      </c>
      <c r="D6" s="11">
        <v>4</v>
      </c>
      <c r="E6" s="11">
        <v>5</v>
      </c>
    </row>
    <row r="7" spans="1:5" ht="15.75">
      <c r="A7" s="12">
        <v>400</v>
      </c>
      <c r="B7" s="12"/>
      <c r="C7" s="12"/>
      <c r="D7" s="13" t="s">
        <v>8</v>
      </c>
      <c r="E7" s="14">
        <f>SUM(E8)</f>
        <v>2400000</v>
      </c>
    </row>
    <row r="8" spans="1:5" s="7" customFormat="1" ht="15.75">
      <c r="A8" s="15"/>
      <c r="B8" s="15">
        <v>40002</v>
      </c>
      <c r="C8" s="15"/>
      <c r="D8" s="16" t="s">
        <v>9</v>
      </c>
      <c r="E8" s="17">
        <f>SUM(E9)</f>
        <v>2400000</v>
      </c>
    </row>
    <row r="9" spans="1:5" ht="15.75">
      <c r="A9" s="15"/>
      <c r="B9" s="18"/>
      <c r="C9" s="18">
        <v>6050</v>
      </c>
      <c r="D9" s="19" t="s">
        <v>10</v>
      </c>
      <c r="E9" s="20">
        <f>SUM(E10:E10)</f>
        <v>2400000</v>
      </c>
    </row>
    <row r="10" spans="1:5" ht="15.75">
      <c r="A10" s="15"/>
      <c r="B10" s="18"/>
      <c r="C10" s="18"/>
      <c r="D10" s="19" t="s">
        <v>82</v>
      </c>
      <c r="E10" s="20">
        <v>2400000</v>
      </c>
    </row>
    <row r="11" spans="1:5" ht="15.75">
      <c r="A11" s="12">
        <v>600</v>
      </c>
      <c r="B11" s="12"/>
      <c r="C11" s="12"/>
      <c r="D11" s="13" t="s">
        <v>13</v>
      </c>
      <c r="E11" s="14">
        <f>E12+E15</f>
        <v>2130000</v>
      </c>
    </row>
    <row r="12" spans="1:8" ht="15.75">
      <c r="A12" s="39"/>
      <c r="B12" s="39">
        <v>60013</v>
      </c>
      <c r="C12" s="39"/>
      <c r="D12" s="21" t="s">
        <v>83</v>
      </c>
      <c r="E12" s="40">
        <f>E13</f>
        <v>100000</v>
      </c>
      <c r="F12" s="80"/>
      <c r="G12" s="81"/>
      <c r="H12" s="82"/>
    </row>
    <row r="13" spans="1:8" ht="47.25">
      <c r="A13" s="83"/>
      <c r="B13" s="83"/>
      <c r="C13" s="83">
        <v>6630</v>
      </c>
      <c r="D13" s="25" t="s">
        <v>24</v>
      </c>
      <c r="E13" s="84">
        <f>E14</f>
        <v>100000</v>
      </c>
      <c r="F13" s="85"/>
      <c r="G13" s="86"/>
      <c r="H13" s="82"/>
    </row>
    <row r="14" spans="1:8" ht="15.75">
      <c r="A14" s="39"/>
      <c r="B14" s="39"/>
      <c r="C14" s="39"/>
      <c r="D14" s="25" t="s">
        <v>84</v>
      </c>
      <c r="E14" s="87">
        <v>100000</v>
      </c>
      <c r="F14" s="85"/>
      <c r="G14" s="86"/>
      <c r="H14" s="82"/>
    </row>
    <row r="15" spans="1:5" s="7" customFormat="1" ht="15.75">
      <c r="A15" s="15"/>
      <c r="B15" s="15">
        <v>60016</v>
      </c>
      <c r="C15" s="15"/>
      <c r="D15" s="21" t="s">
        <v>14</v>
      </c>
      <c r="E15" s="17">
        <f>E16</f>
        <v>2030000</v>
      </c>
    </row>
    <row r="16" spans="1:5" ht="15.75">
      <c r="A16" s="15"/>
      <c r="B16" s="18"/>
      <c r="C16" s="18">
        <v>6050</v>
      </c>
      <c r="D16" s="19" t="s">
        <v>15</v>
      </c>
      <c r="E16" s="20">
        <f>SUM(E17:E19)</f>
        <v>2030000</v>
      </c>
    </row>
    <row r="17" spans="1:5" ht="31.5">
      <c r="A17" s="15"/>
      <c r="B17" s="18"/>
      <c r="C17" s="22"/>
      <c r="D17" s="19" t="s">
        <v>85</v>
      </c>
      <c r="E17" s="20">
        <v>30000</v>
      </c>
    </row>
    <row r="18" spans="1:5" ht="15.75">
      <c r="A18" s="15"/>
      <c r="B18" s="18"/>
      <c r="C18" s="22"/>
      <c r="D18" s="88" t="s">
        <v>86</v>
      </c>
      <c r="E18" s="89">
        <v>2000000</v>
      </c>
    </row>
    <row r="19" spans="1:5" ht="15.75">
      <c r="A19" s="15"/>
      <c r="B19" s="18"/>
      <c r="C19" s="22"/>
      <c r="D19" s="88"/>
      <c r="E19" s="89"/>
    </row>
    <row r="20" spans="1:5" ht="15.75">
      <c r="A20" s="12">
        <v>700</v>
      </c>
      <c r="B20" s="12"/>
      <c r="C20" s="12"/>
      <c r="D20" s="13" t="s">
        <v>87</v>
      </c>
      <c r="E20" s="14">
        <f>E21</f>
        <v>280000</v>
      </c>
    </row>
    <row r="21" spans="1:5" ht="15.75">
      <c r="A21" s="15"/>
      <c r="B21" s="15">
        <v>70005</v>
      </c>
      <c r="C21" s="15"/>
      <c r="D21" s="21" t="s">
        <v>88</v>
      </c>
      <c r="E21" s="17">
        <f>E22</f>
        <v>280000</v>
      </c>
    </row>
    <row r="22" spans="1:5" ht="15.75">
      <c r="A22" s="15"/>
      <c r="B22" s="18"/>
      <c r="C22" s="18">
        <v>6050</v>
      </c>
      <c r="D22" s="19" t="s">
        <v>28</v>
      </c>
      <c r="E22" s="20">
        <f>E23</f>
        <v>280000</v>
      </c>
    </row>
    <row r="23" spans="1:5" ht="15.75">
      <c r="A23" s="15"/>
      <c r="B23" s="18"/>
      <c r="C23" s="18"/>
      <c r="D23" s="19" t="s">
        <v>89</v>
      </c>
      <c r="E23" s="20">
        <v>280000</v>
      </c>
    </row>
    <row r="24" spans="1:5" ht="15.75">
      <c r="A24" s="12">
        <v>801</v>
      </c>
      <c r="B24" s="12"/>
      <c r="C24" s="12"/>
      <c r="D24" s="13" t="s">
        <v>34</v>
      </c>
      <c r="E24" s="14">
        <f>E25</f>
        <v>1089500</v>
      </c>
    </row>
    <row r="25" spans="1:5" ht="15.75">
      <c r="A25" s="27"/>
      <c r="B25" s="27">
        <v>80101</v>
      </c>
      <c r="C25" s="27"/>
      <c r="D25" s="21" t="s">
        <v>35</v>
      </c>
      <c r="E25" s="28">
        <f>E26</f>
        <v>1089500</v>
      </c>
    </row>
    <row r="26" spans="1:5" ht="15.75">
      <c r="A26" s="29"/>
      <c r="B26" s="29"/>
      <c r="C26" s="18">
        <v>6050</v>
      </c>
      <c r="D26" s="19" t="s">
        <v>28</v>
      </c>
      <c r="E26" s="20">
        <f>SUM(E27:E30)</f>
        <v>1089500</v>
      </c>
    </row>
    <row r="27" spans="1:5" ht="15.75">
      <c r="A27" s="29"/>
      <c r="B27" s="29"/>
      <c r="C27" s="30"/>
      <c r="D27" s="90" t="s">
        <v>90</v>
      </c>
      <c r="E27" s="31">
        <v>127700</v>
      </c>
    </row>
    <row r="28" spans="1:5" ht="15.75">
      <c r="A28" s="29"/>
      <c r="B28" s="29"/>
      <c r="C28" s="30"/>
      <c r="D28" s="90" t="s">
        <v>91</v>
      </c>
      <c r="E28" s="31">
        <v>230900</v>
      </c>
    </row>
    <row r="29" spans="1:5" ht="15.75">
      <c r="A29" s="29"/>
      <c r="B29" s="29"/>
      <c r="C29" s="30"/>
      <c r="D29" s="90" t="s">
        <v>92</v>
      </c>
      <c r="E29" s="31">
        <v>230900</v>
      </c>
    </row>
    <row r="30" spans="1:5" ht="15.75">
      <c r="A30" s="29"/>
      <c r="B30" s="29"/>
      <c r="C30" s="30"/>
      <c r="D30" s="19" t="s">
        <v>36</v>
      </c>
      <c r="E30" s="31">
        <v>500000</v>
      </c>
    </row>
    <row r="31" spans="1:5" ht="15.75">
      <c r="A31" s="12">
        <v>900</v>
      </c>
      <c r="B31" s="12"/>
      <c r="C31" s="12"/>
      <c r="D31" s="13" t="s">
        <v>42</v>
      </c>
      <c r="E31" s="14">
        <f>E32</f>
        <v>30000</v>
      </c>
    </row>
    <row r="32" spans="1:5" ht="15.75">
      <c r="A32" s="15"/>
      <c r="B32" s="15">
        <v>90095</v>
      </c>
      <c r="C32" s="15"/>
      <c r="D32" s="21" t="s">
        <v>49</v>
      </c>
      <c r="E32" s="17">
        <f>SUM(E33)</f>
        <v>30000</v>
      </c>
    </row>
    <row r="33" spans="1:5" ht="15.75">
      <c r="A33" s="18"/>
      <c r="B33" s="18"/>
      <c r="C33" s="18">
        <v>6050</v>
      </c>
      <c r="D33" s="19" t="s">
        <v>28</v>
      </c>
      <c r="E33" s="20">
        <f>E34</f>
        <v>30000</v>
      </c>
    </row>
    <row r="34" spans="1:5" ht="47.25">
      <c r="A34" s="18"/>
      <c r="B34" s="18"/>
      <c r="C34" s="22"/>
      <c r="D34" s="19" t="s">
        <v>93</v>
      </c>
      <c r="E34" s="20">
        <v>30000</v>
      </c>
    </row>
    <row r="35" spans="1:5" ht="15.75">
      <c r="A35" s="12">
        <v>921</v>
      </c>
      <c r="B35" s="12"/>
      <c r="C35" s="12"/>
      <c r="D35" s="13" t="s">
        <v>51</v>
      </c>
      <c r="E35" s="14">
        <f>E36</f>
        <v>80000</v>
      </c>
    </row>
    <row r="36" spans="1:5" s="7" customFormat="1" ht="15.75">
      <c r="A36" s="15"/>
      <c r="B36" s="15">
        <v>92116</v>
      </c>
      <c r="C36" s="15"/>
      <c r="D36" s="21" t="s">
        <v>94</v>
      </c>
      <c r="E36" s="17">
        <f>E37</f>
        <v>80000</v>
      </c>
    </row>
    <row r="37" spans="1:5" ht="15.75">
      <c r="A37" s="15"/>
      <c r="B37" s="18"/>
      <c r="C37" s="18">
        <v>6050</v>
      </c>
      <c r="D37" s="19" t="s">
        <v>10</v>
      </c>
      <c r="E37" s="20">
        <f>E38</f>
        <v>80000</v>
      </c>
    </row>
    <row r="38" spans="1:5" ht="31.5">
      <c r="A38" s="15"/>
      <c r="B38" s="18"/>
      <c r="C38" s="18"/>
      <c r="D38" s="19" t="s">
        <v>95</v>
      </c>
      <c r="E38" s="20">
        <v>80000</v>
      </c>
    </row>
    <row r="39" spans="1:5" s="7" customFormat="1" ht="15.75">
      <c r="A39" s="12">
        <v>926</v>
      </c>
      <c r="B39" s="12"/>
      <c r="C39" s="12"/>
      <c r="D39" s="13" t="s">
        <v>54</v>
      </c>
      <c r="E39" s="14">
        <f>E41</f>
        <v>6410000</v>
      </c>
    </row>
    <row r="40" spans="1:5" s="7" customFormat="1" ht="15.75">
      <c r="A40" s="15"/>
      <c r="B40" s="15">
        <v>92601</v>
      </c>
      <c r="C40" s="15"/>
      <c r="D40" s="21" t="s">
        <v>96</v>
      </c>
      <c r="E40" s="17">
        <f>E41</f>
        <v>6410000</v>
      </c>
    </row>
    <row r="41" spans="1:5" ht="15.75">
      <c r="A41" s="15"/>
      <c r="B41" s="18"/>
      <c r="C41" s="18">
        <v>6050</v>
      </c>
      <c r="D41" s="19" t="s">
        <v>10</v>
      </c>
      <c r="E41" s="20">
        <f>E42</f>
        <v>6410000</v>
      </c>
    </row>
    <row r="42" spans="1:5" ht="15.75">
      <c r="A42" s="15"/>
      <c r="B42" s="18"/>
      <c r="C42" s="18"/>
      <c r="D42" s="19" t="s">
        <v>97</v>
      </c>
      <c r="E42" s="20">
        <v>6410000</v>
      </c>
    </row>
    <row r="43" spans="1:5" ht="15" customHeight="1">
      <c r="A43" s="177" t="s">
        <v>57</v>
      </c>
      <c r="B43" s="177"/>
      <c r="C43" s="177"/>
      <c r="D43" s="177"/>
      <c r="E43" s="41">
        <f>SUM(E39,E35,E31,E24,E11,E7,E20)</f>
        <v>12419500</v>
      </c>
    </row>
    <row r="44" ht="15.75">
      <c r="E44" s="42"/>
    </row>
    <row r="45" ht="15.75">
      <c r="E45" s="42"/>
    </row>
    <row r="46" ht="15.75">
      <c r="E46" s="42"/>
    </row>
    <row r="47" ht="15.75">
      <c r="E47" s="42"/>
    </row>
    <row r="48" ht="15.75">
      <c r="E48" s="42"/>
    </row>
    <row r="49" ht="15.75">
      <c r="E49" s="42"/>
    </row>
    <row r="50" ht="15.75">
      <c r="E50" s="42"/>
    </row>
    <row r="51" ht="15.75">
      <c r="E51" s="42"/>
    </row>
    <row r="52" ht="15.75">
      <c r="E52" s="42"/>
    </row>
    <row r="53" ht="15.75">
      <c r="E53" s="42"/>
    </row>
    <row r="54" ht="15.75">
      <c r="E54" s="42"/>
    </row>
    <row r="55" ht="15.75">
      <c r="E55" s="42"/>
    </row>
    <row r="56" ht="15.75">
      <c r="E56" s="42"/>
    </row>
    <row r="57" ht="15.75">
      <c r="E57" s="42"/>
    </row>
    <row r="58" ht="15.75">
      <c r="E58" s="42"/>
    </row>
    <row r="59" ht="15.75">
      <c r="E59" s="42"/>
    </row>
    <row r="60" ht="15.75">
      <c r="E60" s="42"/>
    </row>
    <row r="61" ht="15.75">
      <c r="E61" s="42"/>
    </row>
    <row r="62" ht="15.75">
      <c r="E62" s="42"/>
    </row>
    <row r="63" ht="15.75">
      <c r="E63" s="42"/>
    </row>
    <row r="64" ht="15.75">
      <c r="E64" s="42"/>
    </row>
    <row r="65" ht="15.75">
      <c r="E65" s="42"/>
    </row>
    <row r="66" ht="15.75">
      <c r="E66" s="42"/>
    </row>
    <row r="67" ht="15.75">
      <c r="E67" s="42"/>
    </row>
    <row r="68" ht="15.75">
      <c r="E68" s="42"/>
    </row>
    <row r="69" ht="15.75">
      <c r="E69" s="42"/>
    </row>
    <row r="70" ht="15.75">
      <c r="E70" s="42"/>
    </row>
    <row r="71" ht="15.75">
      <c r="E71" s="42"/>
    </row>
    <row r="72" ht="15.75">
      <c r="E72" s="42"/>
    </row>
    <row r="73" ht="15.75">
      <c r="E73" s="42"/>
    </row>
    <row r="74" ht="15.75">
      <c r="E74" s="42"/>
    </row>
    <row r="75" ht="15.75">
      <c r="E75" s="42"/>
    </row>
    <row r="76" ht="15.75">
      <c r="E76" s="42"/>
    </row>
    <row r="77" ht="15.75">
      <c r="E77" s="42"/>
    </row>
    <row r="78" ht="15.75">
      <c r="E78" s="42"/>
    </row>
    <row r="79" ht="15.75">
      <c r="E79" s="42"/>
    </row>
    <row r="80" ht="15.75">
      <c r="E80" s="42"/>
    </row>
    <row r="81" ht="15.75">
      <c r="E81" s="42"/>
    </row>
    <row r="82" ht="15.75">
      <c r="E82" s="42"/>
    </row>
    <row r="83" ht="15.75">
      <c r="E83" s="42"/>
    </row>
    <row r="84" ht="15.75">
      <c r="E84" s="42"/>
    </row>
    <row r="85" ht="15.75">
      <c r="E85" s="42"/>
    </row>
    <row r="86" ht="15.75">
      <c r="E86" s="42"/>
    </row>
    <row r="87" ht="15.75">
      <c r="E87" s="42"/>
    </row>
    <row r="88" ht="15.75">
      <c r="E88" s="42"/>
    </row>
    <row r="89" ht="15.75">
      <c r="E89" s="42"/>
    </row>
    <row r="90" ht="15.75">
      <c r="E90" s="42"/>
    </row>
    <row r="91" ht="15.75">
      <c r="E91" s="42"/>
    </row>
    <row r="92" ht="15.75">
      <c r="E92" s="42"/>
    </row>
    <row r="93" ht="15.75">
      <c r="E93" s="42"/>
    </row>
    <row r="94" ht="15.75">
      <c r="E94" s="42"/>
    </row>
    <row r="95" ht="15.75">
      <c r="E95" s="42"/>
    </row>
    <row r="96" ht="15.75">
      <c r="E96" s="42"/>
    </row>
    <row r="97" ht="15.75">
      <c r="E97" s="42"/>
    </row>
    <row r="98" ht="15.75">
      <c r="E98" s="42"/>
    </row>
    <row r="99" ht="15.75">
      <c r="E99" s="42"/>
    </row>
    <row r="100" ht="15.75">
      <c r="E100" s="42"/>
    </row>
    <row r="101" ht="15.75">
      <c r="E101" s="42"/>
    </row>
    <row r="102" ht="15.75">
      <c r="E102" s="42"/>
    </row>
    <row r="103" ht="15.75">
      <c r="E103" s="42"/>
    </row>
    <row r="104" ht="15.75">
      <c r="E104" s="42"/>
    </row>
    <row r="105" ht="15.75">
      <c r="E105" s="42"/>
    </row>
    <row r="106" ht="15.75">
      <c r="E106" s="42"/>
    </row>
    <row r="107" ht="15.75">
      <c r="E107" s="42"/>
    </row>
    <row r="108" ht="15.75">
      <c r="E108" s="42"/>
    </row>
    <row r="109" ht="15.75">
      <c r="E109" s="42"/>
    </row>
    <row r="110" ht="15.75">
      <c r="E110" s="42"/>
    </row>
    <row r="111" ht="15.75">
      <c r="E111" s="42"/>
    </row>
    <row r="112" ht="15.75">
      <c r="E112" s="42"/>
    </row>
    <row r="113" ht="15.75">
      <c r="E113" s="42"/>
    </row>
    <row r="114" ht="15.75">
      <c r="E114" s="42"/>
    </row>
    <row r="115" ht="15.75">
      <c r="E115" s="42"/>
    </row>
    <row r="116" ht="15.75">
      <c r="E116" s="42"/>
    </row>
    <row r="117" ht="15.75">
      <c r="E117" s="42"/>
    </row>
    <row r="118" ht="15.75">
      <c r="E118" s="42"/>
    </row>
    <row r="119" ht="15.75">
      <c r="E119" s="42"/>
    </row>
    <row r="120" ht="15.75">
      <c r="E120" s="42"/>
    </row>
    <row r="121" ht="15.75">
      <c r="E121" s="42"/>
    </row>
    <row r="122" ht="15.75">
      <c r="E122" s="42"/>
    </row>
    <row r="123" ht="15.75">
      <c r="E123" s="42"/>
    </row>
    <row r="124" ht="15.75">
      <c r="E124" s="42"/>
    </row>
    <row r="125" ht="15.75">
      <c r="E125" s="42"/>
    </row>
    <row r="126" ht="15.75">
      <c r="E126" s="42"/>
    </row>
    <row r="127" ht="15.75">
      <c r="E127" s="42"/>
    </row>
    <row r="128" ht="15.75">
      <c r="E128" s="42"/>
    </row>
    <row r="129" ht="15.75">
      <c r="E129" s="42"/>
    </row>
    <row r="130" ht="15.75">
      <c r="E130" s="42"/>
    </row>
    <row r="131" ht="15.75">
      <c r="E131" s="42"/>
    </row>
    <row r="132" ht="15.75">
      <c r="E132" s="42"/>
    </row>
    <row r="133" ht="15.75">
      <c r="E133" s="42"/>
    </row>
    <row r="134" ht="15.75">
      <c r="E134" s="42"/>
    </row>
    <row r="135" ht="15.75">
      <c r="E135" s="42"/>
    </row>
    <row r="136" ht="15.75">
      <c r="E136" s="42"/>
    </row>
    <row r="137" ht="15.75">
      <c r="E137" s="42"/>
    </row>
    <row r="138" ht="15.75">
      <c r="E138" s="42"/>
    </row>
    <row r="139" ht="15.75">
      <c r="E139" s="42"/>
    </row>
    <row r="140" ht="15.75">
      <c r="E140" s="42"/>
    </row>
    <row r="141" ht="15.75">
      <c r="E141" s="42"/>
    </row>
    <row r="142" ht="15.75">
      <c r="E142" s="42"/>
    </row>
    <row r="143" ht="15.75">
      <c r="E143" s="42"/>
    </row>
    <row r="144" ht="15.75">
      <c r="E144" s="42"/>
    </row>
    <row r="145" ht="15.75">
      <c r="E145" s="42"/>
    </row>
    <row r="146" ht="15.75">
      <c r="E146" s="42"/>
    </row>
    <row r="147" ht="15.75">
      <c r="E147" s="42"/>
    </row>
    <row r="148" ht="15.75">
      <c r="E148" s="42"/>
    </row>
    <row r="149" ht="15.75">
      <c r="E149" s="42"/>
    </row>
    <row r="150" ht="15.75">
      <c r="E150" s="42"/>
    </row>
    <row r="151" ht="15.75">
      <c r="E151" s="42"/>
    </row>
    <row r="152" ht="15.75">
      <c r="E152" s="42"/>
    </row>
    <row r="153" ht="15.75">
      <c r="E153" s="42"/>
    </row>
    <row r="154" ht="15.75">
      <c r="E154" s="42"/>
    </row>
    <row r="155" ht="15.75">
      <c r="E155" s="42"/>
    </row>
    <row r="156" ht="15.75">
      <c r="E156" s="42"/>
    </row>
    <row r="157" ht="15.75">
      <c r="E157" s="42"/>
    </row>
    <row r="158" ht="15.75">
      <c r="E158" s="42"/>
    </row>
    <row r="159" ht="15.75">
      <c r="E159" s="42"/>
    </row>
    <row r="160" ht="15.75">
      <c r="E160" s="42"/>
    </row>
    <row r="161" ht="15.75">
      <c r="E161" s="42"/>
    </row>
    <row r="162" ht="15.75">
      <c r="E162" s="42"/>
    </row>
    <row r="163" ht="15.75">
      <c r="E163" s="42"/>
    </row>
    <row r="164" ht="15.75">
      <c r="E164" s="42"/>
    </row>
    <row r="165" ht="15.75">
      <c r="E165" s="42"/>
    </row>
    <row r="166" ht="15.75">
      <c r="E166" s="42"/>
    </row>
    <row r="167" ht="15.75">
      <c r="E167" s="42"/>
    </row>
    <row r="168" ht="15.75">
      <c r="E168" s="42"/>
    </row>
    <row r="169" ht="15.75">
      <c r="E169" s="42"/>
    </row>
    <row r="170" ht="15.75">
      <c r="E170" s="42"/>
    </row>
    <row r="171" ht="15.75">
      <c r="E171" s="42"/>
    </row>
  </sheetData>
  <sheetProtection/>
  <mergeCells count="7">
    <mergeCell ref="A43:D43"/>
    <mergeCell ref="A2:E2"/>
    <mergeCell ref="A4:A5"/>
    <mergeCell ref="B4:B5"/>
    <mergeCell ref="C4:C5"/>
    <mergeCell ref="D4:D5"/>
    <mergeCell ref="E4:E5"/>
  </mergeCells>
  <printOptions/>
  <pageMargins left="0.7875" right="0.7875" top="0.7875" bottom="0.7875" header="0.5118055555555555" footer="0.5118055555555555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showGridLines="0" defaultGridColor="0" view="pageBreakPreview" zoomScale="80" zoomScaleSheetLayoutView="80" zoomScalePageLayoutView="0" colorId="15" workbookViewId="0" topLeftCell="A1">
      <selection activeCell="C26" activeCellId="1" sqref="O44:T44 C26"/>
    </sheetView>
  </sheetViews>
  <sheetFormatPr defaultColWidth="9.00390625" defaultRowHeight="12.75"/>
  <cols>
    <col min="1" max="1" width="9.25390625" style="91" customWidth="1"/>
    <col min="2" max="2" width="14.00390625" style="92" customWidth="1"/>
    <col min="3" max="3" width="9.25390625" style="92" customWidth="1"/>
    <col min="4" max="4" width="15.75390625" style="92" customWidth="1"/>
    <col min="5" max="9" width="9.25390625" style="92" customWidth="1"/>
    <col min="10" max="13" width="8.75390625" style="92" customWidth="1"/>
    <col min="14" max="14" width="11.75390625" style="92" customWidth="1"/>
    <col min="15" max="18" width="8.75390625" style="92" customWidth="1"/>
    <col min="19" max="19" width="12.00390625" style="92" customWidth="1"/>
    <col min="20" max="20" width="12.875" style="92" customWidth="1"/>
    <col min="21" max="21" width="11.25390625" style="92" customWidth="1"/>
    <col min="22" max="245" width="9.125" style="92" customWidth="1"/>
  </cols>
  <sheetData>
    <row r="1" spans="1:19" ht="34.5" customHeight="1">
      <c r="A1" s="186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93"/>
      <c r="Q1" s="93"/>
      <c r="R1" s="93"/>
      <c r="S1" s="93"/>
    </row>
    <row r="2" spans="1:19" ht="24.75" customHeight="1">
      <c r="A2" s="94"/>
      <c r="B2" s="95"/>
      <c r="C2" s="96" t="s">
        <v>99</v>
      </c>
      <c r="D2" s="96" t="s">
        <v>100</v>
      </c>
      <c r="E2" s="96">
        <v>2011</v>
      </c>
      <c r="F2" s="96">
        <v>2012</v>
      </c>
      <c r="G2" s="96">
        <v>2013</v>
      </c>
      <c r="H2" s="96">
        <v>2014</v>
      </c>
      <c r="I2" s="96">
        <v>2015</v>
      </c>
      <c r="J2" s="96">
        <v>2016</v>
      </c>
      <c r="K2" s="96">
        <v>2017</v>
      </c>
      <c r="L2" s="96">
        <v>2018</v>
      </c>
      <c r="M2" s="96">
        <v>2019</v>
      </c>
      <c r="N2" s="96">
        <v>2020</v>
      </c>
      <c r="O2" s="96">
        <v>2021</v>
      </c>
      <c r="P2" s="96">
        <v>2022</v>
      </c>
      <c r="Q2" s="96">
        <v>2023</v>
      </c>
      <c r="R2" s="96">
        <v>2024</v>
      </c>
      <c r="S2" s="96" t="s">
        <v>71</v>
      </c>
    </row>
    <row r="3" spans="1:19" ht="12.75">
      <c r="A3" s="97"/>
      <c r="B3" s="98" t="s">
        <v>101</v>
      </c>
      <c r="C3" s="99">
        <f aca="true" t="shared" si="0" ref="C3:R3">SUM(C4:C13)</f>
        <v>1750567</v>
      </c>
      <c r="D3" s="99">
        <f t="shared" si="0"/>
        <v>1508113.8399999999</v>
      </c>
      <c r="E3" s="99">
        <f t="shared" si="0"/>
        <v>2630702.8673214614</v>
      </c>
      <c r="F3" s="99">
        <f t="shared" si="0"/>
        <v>11098419.05542709</v>
      </c>
      <c r="G3" s="99">
        <f t="shared" si="0"/>
        <v>11098419.05542709</v>
      </c>
      <c r="H3" s="99">
        <f t="shared" si="0"/>
        <v>11077419.05542709</v>
      </c>
      <c r="I3" s="99">
        <f t="shared" si="0"/>
        <v>10498419.05542709</v>
      </c>
      <c r="J3" s="99">
        <f t="shared" si="0"/>
        <v>10196779.05542709</v>
      </c>
      <c r="K3" s="99">
        <f t="shared" si="0"/>
        <v>1251253.5673214612</v>
      </c>
      <c r="L3" s="99">
        <f t="shared" si="0"/>
        <v>1251253.5673214612</v>
      </c>
      <c r="M3" s="99">
        <f t="shared" si="0"/>
        <v>1251253.5673214612</v>
      </c>
      <c r="N3" s="99">
        <f t="shared" si="0"/>
        <v>1251253.5673214612</v>
      </c>
      <c r="O3" s="99">
        <f t="shared" si="0"/>
        <v>1251253.5673214612</v>
      </c>
      <c r="P3" s="99">
        <f t="shared" si="0"/>
        <v>1251253.5673214612</v>
      </c>
      <c r="Q3" s="99">
        <f t="shared" si="0"/>
        <v>1251253.5673214612</v>
      </c>
      <c r="R3" s="99">
        <f t="shared" si="0"/>
        <v>0</v>
      </c>
      <c r="S3" s="100">
        <f aca="true" t="shared" si="1" ref="S3:S14">SUM(C3:R3)</f>
        <v>68617613.95570716</v>
      </c>
    </row>
    <row r="4" spans="1:19" ht="12.75">
      <c r="A4" s="97">
        <v>1</v>
      </c>
      <c r="B4" s="101" t="s">
        <v>102</v>
      </c>
      <c r="C4" s="99">
        <v>480000</v>
      </c>
      <c r="D4" s="99">
        <v>348272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0">
        <f t="shared" si="1"/>
        <v>828272</v>
      </c>
    </row>
    <row r="5" spans="1:19" ht="12.75">
      <c r="A5" s="97">
        <v>2</v>
      </c>
      <c r="B5" s="101" t="s">
        <v>102</v>
      </c>
      <c r="C5" s="99">
        <v>384000</v>
      </c>
      <c r="D5" s="99">
        <v>384000</v>
      </c>
      <c r="E5" s="99">
        <v>384000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0">
        <f t="shared" si="1"/>
        <v>1152000</v>
      </c>
    </row>
    <row r="6" spans="1:19" ht="12.75">
      <c r="A6" s="97">
        <v>3</v>
      </c>
      <c r="B6" s="101" t="s">
        <v>103</v>
      </c>
      <c r="C6" s="99">
        <v>386567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0">
        <f t="shared" si="1"/>
        <v>386567</v>
      </c>
    </row>
    <row r="7" spans="1:19" ht="12.75">
      <c r="A7" s="97">
        <v>4</v>
      </c>
      <c r="B7" s="101" t="s">
        <v>104</v>
      </c>
      <c r="C7" s="102"/>
      <c r="D7" s="102">
        <f>30398.14*4+4080*4+2914.28*4+3851.42*4+2716.62*4</f>
        <v>175841.84</v>
      </c>
      <c r="E7" s="102">
        <f>269651.14-D7</f>
        <v>93809.30000000002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0">
        <f t="shared" si="1"/>
        <v>269651.14</v>
      </c>
    </row>
    <row r="8" spans="1:19" ht="12.75">
      <c r="A8" s="97">
        <v>5</v>
      </c>
      <c r="B8" s="101" t="s">
        <v>102</v>
      </c>
      <c r="C8" s="99">
        <v>500000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>
        <f t="shared" si="1"/>
        <v>500000</v>
      </c>
    </row>
    <row r="9" spans="1:19" ht="12.75">
      <c r="A9" s="97">
        <v>6</v>
      </c>
      <c r="B9" s="101" t="s">
        <v>104</v>
      </c>
      <c r="C9" s="99"/>
      <c r="D9" s="99">
        <v>600000</v>
      </c>
      <c r="E9" s="99">
        <f>D9</f>
        <v>600000</v>
      </c>
      <c r="F9" s="99">
        <f>E9</f>
        <v>600000</v>
      </c>
      <c r="G9" s="99">
        <f>F9</f>
        <v>600000</v>
      </c>
      <c r="H9" s="99">
        <f>G9-21000</f>
        <v>579000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100">
        <f t="shared" si="1"/>
        <v>2979000</v>
      </c>
    </row>
    <row r="10" spans="1:19" ht="12.75">
      <c r="A10" s="97">
        <v>7</v>
      </c>
      <c r="B10" s="101" t="s">
        <v>105</v>
      </c>
      <c r="C10" s="99"/>
      <c r="D10" s="99"/>
      <c r="E10" s="99">
        <v>230000</v>
      </c>
      <c r="F10" s="99">
        <v>230000</v>
      </c>
      <c r="G10" s="99">
        <v>230000</v>
      </c>
      <c r="H10" s="99">
        <v>230000</v>
      </c>
      <c r="I10" s="99">
        <v>230000</v>
      </c>
      <c r="J10" s="99"/>
      <c r="K10" s="99"/>
      <c r="L10" s="99"/>
      <c r="M10" s="99"/>
      <c r="N10" s="99"/>
      <c r="O10" s="99"/>
      <c r="P10" s="99"/>
      <c r="Q10" s="99"/>
      <c r="R10" s="99"/>
      <c r="S10" s="100">
        <f t="shared" si="1"/>
        <v>1150000</v>
      </c>
    </row>
    <row r="11" spans="1:19" ht="12.75">
      <c r="A11" s="97">
        <v>8</v>
      </c>
      <c r="B11" s="101" t="s">
        <v>106</v>
      </c>
      <c r="C11" s="99"/>
      <c r="D11" s="99"/>
      <c r="E11" s="99">
        <v>71640</v>
      </c>
      <c r="F11" s="99">
        <v>71640</v>
      </c>
      <c r="G11" s="99">
        <v>71640</v>
      </c>
      <c r="H11" s="99">
        <v>71640</v>
      </c>
      <c r="I11" s="99">
        <v>71640</v>
      </c>
      <c r="J11" s="99"/>
      <c r="K11" s="99"/>
      <c r="L11" s="99"/>
      <c r="M11" s="99"/>
      <c r="N11" s="99"/>
      <c r="O11" s="99"/>
      <c r="P11" s="99"/>
      <c r="Q11" s="99"/>
      <c r="R11" s="99"/>
      <c r="S11" s="100">
        <f t="shared" si="1"/>
        <v>358200</v>
      </c>
    </row>
    <row r="12" spans="1:20" ht="12.75">
      <c r="A12" s="97">
        <v>9</v>
      </c>
      <c r="B12" s="101" t="s">
        <v>107</v>
      </c>
      <c r="C12" s="99"/>
      <c r="D12" s="99"/>
      <c r="E12" s="99">
        <f>(Prognoza_2_2!$F$16-S11)/13</f>
        <v>1251253.5673214612</v>
      </c>
      <c r="F12" s="99">
        <f>(Prognoza_2_2!$F$16-S11)/13</f>
        <v>1251253.5673214612</v>
      </c>
      <c r="G12" s="99">
        <f>(Prognoza_2_2!$F$16-$S$11)/13</f>
        <v>1251253.5673214612</v>
      </c>
      <c r="H12" s="99">
        <f>(Prognoza_2_2!$F$16-$S$11)/13</f>
        <v>1251253.5673214612</v>
      </c>
      <c r="I12" s="99">
        <f>(Prognoza_2_2!$F$16-$S$11)/13</f>
        <v>1251253.5673214612</v>
      </c>
      <c r="J12" s="99">
        <f>(Prognoza_2_2!$F$16-$S$11)/13</f>
        <v>1251253.5673214612</v>
      </c>
      <c r="K12" s="99">
        <f>(Prognoza_2_2!$F$16-$S$11)/13</f>
        <v>1251253.5673214612</v>
      </c>
      <c r="L12" s="99">
        <f>(Prognoza_2_2!$F$16-$S$11)/13</f>
        <v>1251253.5673214612</v>
      </c>
      <c r="M12" s="99">
        <f>(Prognoza_2_2!$F$16-$S$11)/13</f>
        <v>1251253.5673214612</v>
      </c>
      <c r="N12" s="99">
        <f>(Prognoza_2_2!$F$16-$S$11)/13</f>
        <v>1251253.5673214612</v>
      </c>
      <c r="O12" s="99">
        <f>(Prognoza_2_2!$F$16-$S$11)/13</f>
        <v>1251253.5673214612</v>
      </c>
      <c r="P12" s="99">
        <f>(Prognoza_2_2!$F$16-$S$11)/13</f>
        <v>1251253.5673214612</v>
      </c>
      <c r="Q12" s="99">
        <f>(Prognoza_2_2!$F$16-$S$11)/13</f>
        <v>1251253.5673214612</v>
      </c>
      <c r="R12" s="99"/>
      <c r="S12" s="100">
        <f t="shared" si="1"/>
        <v>16266296.37517899</v>
      </c>
      <c r="T12" s="103">
        <f>S11+S12</f>
        <v>16624496.37517899</v>
      </c>
    </row>
    <row r="13" spans="1:19" ht="12.75">
      <c r="A13" s="97">
        <v>10</v>
      </c>
      <c r="B13" s="101" t="s">
        <v>108</v>
      </c>
      <c r="C13" s="99"/>
      <c r="D13" s="99"/>
      <c r="E13" s="99"/>
      <c r="F13" s="99">
        <f>Prognoza_2_2!$G$16/5</f>
        <v>8945525.488105629</v>
      </c>
      <c r="G13" s="99">
        <f>Prognoza_2_2!$G$16/5</f>
        <v>8945525.488105629</v>
      </c>
      <c r="H13" s="99">
        <f>Prognoza_2_2!$G$16/5</f>
        <v>8945525.488105629</v>
      </c>
      <c r="I13" s="99">
        <f>Prognoza_2_2!$G$16/5</f>
        <v>8945525.488105629</v>
      </c>
      <c r="J13" s="99">
        <f>Prognoza_2_2!$G$16/5</f>
        <v>8945525.488105629</v>
      </c>
      <c r="K13" s="99"/>
      <c r="L13" s="99"/>
      <c r="M13" s="99"/>
      <c r="N13" s="99"/>
      <c r="O13" s="99"/>
      <c r="P13" s="99"/>
      <c r="Q13" s="99"/>
      <c r="R13" s="99"/>
      <c r="S13" s="100">
        <f t="shared" si="1"/>
        <v>44727627.44052814</v>
      </c>
    </row>
    <row r="14" spans="1:19" ht="12.75">
      <c r="A14" s="97"/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>
        <f t="shared" si="1"/>
        <v>0</v>
      </c>
    </row>
    <row r="15" spans="1:19" ht="12.75">
      <c r="A15" s="97"/>
      <c r="B15" s="101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</row>
    <row r="16" spans="1:19" ht="12.75">
      <c r="A16" s="97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>
        <f aca="true" t="shared" si="2" ref="S16:S27">SUM(C16:R16)</f>
        <v>0</v>
      </c>
    </row>
    <row r="17" spans="1:256" s="105" customFormat="1" ht="12.75">
      <c r="A17" s="96"/>
      <c r="B17" s="98" t="s">
        <v>109</v>
      </c>
      <c r="C17" s="104">
        <f aca="true" t="shared" si="3" ref="C17:R17">C3+C19</f>
        <v>1944484.7961961643</v>
      </c>
      <c r="D17" s="104">
        <f t="shared" si="3"/>
        <v>2189897.5444526654</v>
      </c>
      <c r="E17" s="104">
        <f t="shared" si="3"/>
        <v>5145059.8134033475</v>
      </c>
      <c r="F17" s="104">
        <f t="shared" si="3"/>
        <v>14796399.080081843</v>
      </c>
      <c r="G17" s="104">
        <f t="shared" si="3"/>
        <v>14142493.995811645</v>
      </c>
      <c r="H17" s="104">
        <f t="shared" si="3"/>
        <v>13467588.911541447</v>
      </c>
      <c r="I17" s="104">
        <f t="shared" si="3"/>
        <v>12235901.82727125</v>
      </c>
      <c r="J17" s="104">
        <f t="shared" si="3"/>
        <v>11315156.743001051</v>
      </c>
      <c r="K17" s="104">
        <f t="shared" si="3"/>
        <v>1768021.2906252244</v>
      </c>
      <c r="L17" s="104">
        <f t="shared" si="3"/>
        <v>1694197.330153258</v>
      </c>
      <c r="M17" s="104">
        <f t="shared" si="3"/>
        <v>1620373.369681292</v>
      </c>
      <c r="N17" s="104">
        <f t="shared" si="3"/>
        <v>1546549.409209326</v>
      </c>
      <c r="O17" s="104">
        <f t="shared" si="3"/>
        <v>1472725.4487373596</v>
      </c>
      <c r="P17" s="104">
        <f t="shared" si="3"/>
        <v>1398901.4882653933</v>
      </c>
      <c r="Q17" s="104">
        <f t="shared" si="3"/>
        <v>1325077.5277934272</v>
      </c>
      <c r="R17" s="104">
        <f t="shared" si="3"/>
        <v>0</v>
      </c>
      <c r="S17" s="100">
        <f t="shared" si="2"/>
        <v>86062828.5762247</v>
      </c>
      <c r="IL17"/>
      <c r="IM17"/>
      <c r="IN17"/>
      <c r="IO17"/>
      <c r="IP17"/>
      <c r="IQ17"/>
      <c r="IR17"/>
      <c r="IS17"/>
      <c r="IT17"/>
      <c r="IU17"/>
      <c r="IV17"/>
    </row>
    <row r="18" spans="1:19" ht="12.75">
      <c r="A18" s="96"/>
      <c r="B18" s="98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>
        <f t="shared" si="2"/>
        <v>0</v>
      </c>
    </row>
    <row r="19" spans="1:19" ht="12.75">
      <c r="A19" s="97"/>
      <c r="B19" s="98" t="s">
        <v>110</v>
      </c>
      <c r="C19" s="104">
        <f aca="true" t="shared" si="4" ref="C19:R19">SUM(C20:C29)</f>
        <v>193917.7961961644</v>
      </c>
      <c r="D19" s="104">
        <f t="shared" si="4"/>
        <v>681783.7044526653</v>
      </c>
      <c r="E19" s="104">
        <f t="shared" si="4"/>
        <v>2514356.946081886</v>
      </c>
      <c r="F19" s="104">
        <f t="shared" si="4"/>
        <v>3697980.0246547544</v>
      </c>
      <c r="G19" s="104">
        <f t="shared" si="4"/>
        <v>3044074.9403845565</v>
      </c>
      <c r="H19" s="104">
        <f t="shared" si="4"/>
        <v>2390169.856114358</v>
      </c>
      <c r="I19" s="104">
        <f t="shared" si="4"/>
        <v>1737482.7718441596</v>
      </c>
      <c r="J19" s="104">
        <f t="shared" si="4"/>
        <v>1118377.6875739614</v>
      </c>
      <c r="K19" s="104">
        <f t="shared" si="4"/>
        <v>516767.72330376325</v>
      </c>
      <c r="L19" s="104">
        <f t="shared" si="4"/>
        <v>442943.762831797</v>
      </c>
      <c r="M19" s="104">
        <f t="shared" si="4"/>
        <v>369119.8023598308</v>
      </c>
      <c r="N19" s="104">
        <f t="shared" si="4"/>
        <v>295295.84188786463</v>
      </c>
      <c r="O19" s="104">
        <f t="shared" si="4"/>
        <v>221471.88141589848</v>
      </c>
      <c r="P19" s="104">
        <f t="shared" si="4"/>
        <v>147647.92094393214</v>
      </c>
      <c r="Q19" s="104">
        <f t="shared" si="4"/>
        <v>73823.96047196597</v>
      </c>
      <c r="R19" s="104">
        <f t="shared" si="4"/>
        <v>0</v>
      </c>
      <c r="S19" s="100">
        <f t="shared" si="2"/>
        <v>17445214.62051756</v>
      </c>
    </row>
    <row r="20" spans="1:19" ht="12.75">
      <c r="A20" s="97">
        <v>1</v>
      </c>
      <c r="B20" s="101" t="s">
        <v>102</v>
      </c>
      <c r="C20" s="102">
        <v>49587</v>
      </c>
      <c r="D20" s="102">
        <v>21567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0">
        <f t="shared" si="2"/>
        <v>71154</v>
      </c>
    </row>
    <row r="21" spans="1:19" ht="12.75">
      <c r="A21" s="97">
        <v>2</v>
      </c>
      <c r="B21" s="101" t="s">
        <v>102</v>
      </c>
      <c r="C21" s="102">
        <f>((C5+D5+E5)*6.57*30/36500)*12</f>
        <v>74649.6</v>
      </c>
      <c r="D21" s="102">
        <f>((D5+E5)*6.57*30/36500)*12</f>
        <v>49766.399999999994</v>
      </c>
      <c r="E21" s="99">
        <f>((E5)*6.57*30/36500)*12</f>
        <v>24883.199999999997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0">
        <f t="shared" si="2"/>
        <v>149299.2</v>
      </c>
    </row>
    <row r="22" spans="1:19" ht="12.75">
      <c r="A22" s="97">
        <v>3</v>
      </c>
      <c r="B22" s="101" t="s">
        <v>103</v>
      </c>
      <c r="C22" s="102">
        <f>((C6+D6+E6)*6.57*30/36500)*12</f>
        <v>25049.5416</v>
      </c>
      <c r="D22" s="102">
        <f>((D6+E6)*6.57*30/36500)*12</f>
        <v>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0">
        <f t="shared" si="2"/>
        <v>25049.5416</v>
      </c>
    </row>
    <row r="23" spans="1:19" ht="12.75">
      <c r="A23" s="97">
        <v>4</v>
      </c>
      <c r="B23" s="101" t="s">
        <v>104</v>
      </c>
      <c r="C23" s="102">
        <f>((E7+D7)*3.15*30/36500)*12</f>
        <v>8377.654596164384</v>
      </c>
      <c r="D23" s="102">
        <f>((D7+E7)*3.15*30/36500)*12</f>
        <v>8377.654596164384</v>
      </c>
      <c r="E23" s="102">
        <f>((E7+F7)*3.15*30/36500)*12</f>
        <v>2914.5135945205484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0">
        <f t="shared" si="2"/>
        <v>19669.822786849316</v>
      </c>
    </row>
    <row r="24" spans="1:19" ht="12.75">
      <c r="A24" s="97">
        <v>5</v>
      </c>
      <c r="B24" s="101" t="s">
        <v>111</v>
      </c>
      <c r="C24" s="102">
        <v>13810</v>
      </c>
      <c r="D24" s="102"/>
      <c r="E24" s="99"/>
      <c r="F24" s="99"/>
      <c r="G24" s="99"/>
      <c r="H24" s="99"/>
      <c r="I24" s="99"/>
      <c r="J24" s="99"/>
      <c r="K24" s="99"/>
      <c r="L24" s="99"/>
      <c r="M24" s="99"/>
      <c r="N24" s="102"/>
      <c r="O24" s="102"/>
      <c r="P24" s="102"/>
      <c r="Q24" s="102"/>
      <c r="R24" s="102"/>
      <c r="S24" s="100">
        <f t="shared" si="2"/>
        <v>13810</v>
      </c>
    </row>
    <row r="25" spans="1:19" ht="12.75">
      <c r="A25" s="97">
        <v>6</v>
      </c>
      <c r="B25" s="101" t="s">
        <v>104</v>
      </c>
      <c r="C25" s="102">
        <v>22444</v>
      </c>
      <c r="D25" s="102">
        <f>S9*5.8/100</f>
        <v>172782</v>
      </c>
      <c r="E25" s="99">
        <f>($S$9-$D$9)*5.8/100</f>
        <v>137982</v>
      </c>
      <c r="F25" s="99">
        <f>($S$9-$D$9-$E$9)*5.8/100</f>
        <v>103182</v>
      </c>
      <c r="G25" s="99">
        <f>($S$9-$D$9-$E$9-$F$9)*5.8/100</f>
        <v>68382</v>
      </c>
      <c r="H25" s="99">
        <f>($S$9-$D$9-$E$9-$F$9-$G$9)*5.8/100</f>
        <v>33582</v>
      </c>
      <c r="I25" s="99">
        <f>($S$9-$D$9-$E$9-$F$9-$G$9-$H$9)*5.8/100</f>
        <v>0</v>
      </c>
      <c r="J25" s="99"/>
      <c r="K25" s="99"/>
      <c r="L25" s="99"/>
      <c r="M25" s="99"/>
      <c r="N25" s="102"/>
      <c r="O25" s="102"/>
      <c r="P25" s="102"/>
      <c r="Q25" s="102"/>
      <c r="R25" s="102"/>
      <c r="S25" s="100">
        <f t="shared" si="2"/>
        <v>538354</v>
      </c>
    </row>
    <row r="26" spans="1:19" ht="12.75">
      <c r="A26" s="97">
        <v>7</v>
      </c>
      <c r="B26" s="101" t="s">
        <v>105</v>
      </c>
      <c r="C26" s="102"/>
      <c r="D26" s="102">
        <f>$S$10*5.8%</f>
        <v>66700</v>
      </c>
      <c r="E26" s="102">
        <f>$S$10*5.8%</f>
        <v>66700</v>
      </c>
      <c r="F26" s="102">
        <f>($S$10-F10)*5.8%</f>
        <v>53359.99999999999</v>
      </c>
      <c r="G26" s="102">
        <f>($S$10-G10*2)*5.8%</f>
        <v>40020</v>
      </c>
      <c r="H26" s="102">
        <f>($S$10-H10*3)*5.8%</f>
        <v>26679.999999999996</v>
      </c>
      <c r="I26" s="102">
        <f>($S$10-I10*4)*5.8%</f>
        <v>13339.999999999998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0">
        <f t="shared" si="2"/>
        <v>266800</v>
      </c>
    </row>
    <row r="27" spans="1:19" ht="12.75">
      <c r="A27" s="97">
        <v>8</v>
      </c>
      <c r="B27" s="101" t="s">
        <v>106</v>
      </c>
      <c r="C27" s="102"/>
      <c r="D27" s="102">
        <f>$S$11*0.058</f>
        <v>20775.6</v>
      </c>
      <c r="E27" s="102">
        <f>$S$11*0.058</f>
        <v>20775.6</v>
      </c>
      <c r="F27" s="102">
        <f>($S$11-F11)*0.058</f>
        <v>16620.48</v>
      </c>
      <c r="G27" s="102">
        <f>($S$11-G11*2)*0.058</f>
        <v>12465.359999999999</v>
      </c>
      <c r="H27" s="102">
        <f>($S$11-H11*3)*0.058</f>
        <v>8310.24</v>
      </c>
      <c r="I27" s="102">
        <f>($S$11-I11*4)*0.058</f>
        <v>4155.12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0">
        <f t="shared" si="2"/>
        <v>83102.4</v>
      </c>
    </row>
    <row r="28" spans="1:19" ht="12.75">
      <c r="A28" s="97">
        <v>9</v>
      </c>
      <c r="B28" s="101" t="s">
        <v>107</v>
      </c>
      <c r="C28" s="102"/>
      <c r="D28" s="102">
        <f>($S$12*5.9*130)/36500</f>
        <v>341815.049856501</v>
      </c>
      <c r="E28" s="102">
        <f>(($S$12)*5.9)/100</f>
        <v>959711.4861355606</v>
      </c>
      <c r="F28" s="102">
        <f>(($S$12-F12)*5.9)/100</f>
        <v>885887.5256635942</v>
      </c>
      <c r="G28" s="102">
        <f>(($S$12-G12*2)*5.9)/100</f>
        <v>812063.5651916281</v>
      </c>
      <c r="H28" s="102">
        <f>(($S$12-H12*3)*5.9)/100</f>
        <v>738239.6047196619</v>
      </c>
      <c r="I28" s="99">
        <f>(($S$12-I12*4)*5.9)/100</f>
        <v>664415.6442476957</v>
      </c>
      <c r="J28" s="99">
        <f>(($S$12-J12*5)*5.9)/100</f>
        <v>590591.6837757295</v>
      </c>
      <c r="K28" s="99">
        <f>(($S$12-K12*6)*5.9)/100</f>
        <v>516767.72330376325</v>
      </c>
      <c r="L28" s="99">
        <f>(($S$12-L12*7)*5.9)/100</f>
        <v>442943.762831797</v>
      </c>
      <c r="M28" s="99">
        <f>(($S$12-M12*8)*5.9)/100</f>
        <v>369119.8023598308</v>
      </c>
      <c r="N28" s="99">
        <f>(($S$12-N12*9)*5.9)/100</f>
        <v>295295.84188786463</v>
      </c>
      <c r="O28" s="99">
        <f>(($S$12-O12*10)*5.9)/100</f>
        <v>221471.88141589848</v>
      </c>
      <c r="P28" s="99">
        <f>(($S$12-P12*11)*5.9)/100</f>
        <v>147647.92094393214</v>
      </c>
      <c r="Q28" s="99">
        <f>(($S$12-Q12*12)*5.9)/100</f>
        <v>73823.96047196597</v>
      </c>
      <c r="R28" s="99"/>
      <c r="S28" s="100">
        <f>SUM(C28:J28)</f>
        <v>4992724.55959037</v>
      </c>
    </row>
    <row r="29" spans="1:19" ht="12.75">
      <c r="A29" s="97">
        <v>10</v>
      </c>
      <c r="B29" s="101" t="s">
        <v>108</v>
      </c>
      <c r="C29" s="102"/>
      <c r="D29" s="102"/>
      <c r="E29" s="102">
        <f>($S$13*5.9*180)/36500</f>
        <v>1301390.1463518052</v>
      </c>
      <c r="F29" s="102">
        <f>(($S$13)*5.9)/100</f>
        <v>2638930.01899116</v>
      </c>
      <c r="G29" s="102">
        <f>(($S$13-G13)*5.9)/100</f>
        <v>2111144.0151929287</v>
      </c>
      <c r="H29" s="102">
        <f>(($S$13-H13*2)*5.9)/100</f>
        <v>1583358.0113946963</v>
      </c>
      <c r="I29" s="99">
        <f>(($S$13-I13*3)*5.9)/100</f>
        <v>1055572.007596464</v>
      </c>
      <c r="J29" s="99">
        <f>(($S$13-J13*4)*5.9)/100</f>
        <v>527786.003798232</v>
      </c>
      <c r="K29" s="99"/>
      <c r="L29" s="99"/>
      <c r="M29" s="99"/>
      <c r="N29" s="99"/>
      <c r="O29" s="99"/>
      <c r="P29" s="99"/>
      <c r="Q29" s="99"/>
      <c r="R29" s="99"/>
      <c r="S29" s="100">
        <f>SUM(C29:J29)</f>
        <v>9218180.203325287</v>
      </c>
    </row>
    <row r="32" spans="1:19" ht="12.75">
      <c r="A32" s="94"/>
      <c r="B32" s="95"/>
      <c r="C32" s="96" t="s">
        <v>99</v>
      </c>
      <c r="D32" s="96" t="s">
        <v>100</v>
      </c>
      <c r="E32" s="96">
        <v>2011</v>
      </c>
      <c r="F32" s="96">
        <v>2012</v>
      </c>
      <c r="G32" s="96">
        <v>2013</v>
      </c>
      <c r="H32" s="96">
        <v>2014</v>
      </c>
      <c r="I32" s="96">
        <v>2015</v>
      </c>
      <c r="J32" s="96">
        <v>2016</v>
      </c>
      <c r="K32" s="96">
        <v>2017</v>
      </c>
      <c r="L32" s="96">
        <v>2018</v>
      </c>
      <c r="M32" s="96">
        <v>2019</v>
      </c>
      <c r="N32" s="96">
        <v>2020</v>
      </c>
      <c r="O32" s="96">
        <v>2021</v>
      </c>
      <c r="P32" s="96">
        <v>2022</v>
      </c>
      <c r="Q32" s="96">
        <v>2023</v>
      </c>
      <c r="R32" s="96">
        <v>2024</v>
      </c>
      <c r="S32" s="96" t="s">
        <v>71</v>
      </c>
    </row>
    <row r="33" spans="1:256" s="105" customFormat="1" ht="12.75">
      <c r="A33" s="96"/>
      <c r="B33" s="98" t="s">
        <v>112</v>
      </c>
      <c r="C33" s="104">
        <f aca="true" t="shared" si="5" ref="C33:S33">SUM(C34:C35)</f>
        <v>0</v>
      </c>
      <c r="D33" s="104">
        <f t="shared" si="5"/>
        <v>0</v>
      </c>
      <c r="E33" s="104">
        <f t="shared" si="5"/>
        <v>0</v>
      </c>
      <c r="F33" s="104">
        <f t="shared" si="5"/>
        <v>1000000</v>
      </c>
      <c r="G33" s="104">
        <f t="shared" si="5"/>
        <v>1000000</v>
      </c>
      <c r="H33" s="104">
        <f t="shared" si="5"/>
        <v>1000000</v>
      </c>
      <c r="I33" s="104">
        <f t="shared" si="5"/>
        <v>1000000</v>
      </c>
      <c r="J33" s="104">
        <f t="shared" si="5"/>
        <v>1000000</v>
      </c>
      <c r="K33" s="104">
        <f t="shared" si="5"/>
        <v>1000000</v>
      </c>
      <c r="L33" s="104">
        <f t="shared" si="5"/>
        <v>1000000</v>
      </c>
      <c r="M33" s="104">
        <f t="shared" si="5"/>
        <v>1000000</v>
      </c>
      <c r="N33" s="104">
        <f t="shared" si="5"/>
        <v>0</v>
      </c>
      <c r="O33" s="104">
        <f t="shared" si="5"/>
        <v>0</v>
      </c>
      <c r="P33" s="104">
        <f t="shared" si="5"/>
        <v>0</v>
      </c>
      <c r="Q33" s="104">
        <f t="shared" si="5"/>
        <v>0</v>
      </c>
      <c r="R33" s="104">
        <f t="shared" si="5"/>
        <v>0</v>
      </c>
      <c r="S33" s="104">
        <f t="shared" si="5"/>
        <v>8000000</v>
      </c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</row>
    <row r="34" spans="1:19" ht="12.75">
      <c r="A34" s="97">
        <v>1</v>
      </c>
      <c r="B34" s="101" t="s">
        <v>113</v>
      </c>
      <c r="C34" s="99"/>
      <c r="D34" s="99"/>
      <c r="E34" s="102"/>
      <c r="F34" s="102">
        <v>1000000</v>
      </c>
      <c r="G34" s="102">
        <v>1000000</v>
      </c>
      <c r="H34" s="102">
        <v>1000000</v>
      </c>
      <c r="I34" s="102">
        <v>1000000</v>
      </c>
      <c r="J34" s="102">
        <v>1000000</v>
      </c>
      <c r="K34" s="102">
        <v>1000000</v>
      </c>
      <c r="L34" s="102">
        <v>1000000</v>
      </c>
      <c r="M34" s="102">
        <v>1000000</v>
      </c>
      <c r="N34" s="102"/>
      <c r="O34" s="102"/>
      <c r="P34" s="102"/>
      <c r="Q34" s="102"/>
      <c r="R34" s="102"/>
      <c r="S34" s="100">
        <f>SUM(C34:R34)</f>
        <v>8000000</v>
      </c>
    </row>
    <row r="35" spans="1:19" ht="12.75">
      <c r="A35" s="97">
        <v>2</v>
      </c>
      <c r="B35" s="101"/>
      <c r="C35" s="99"/>
      <c r="D35" s="99"/>
      <c r="E35" s="99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0">
        <f>SUM(C35:R35)</f>
        <v>0</v>
      </c>
    </row>
    <row r="36" spans="1:19" ht="12.75">
      <c r="A36" s="97"/>
      <c r="B36" s="101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00"/>
    </row>
    <row r="37" spans="1:19" ht="12.75">
      <c r="A37" s="96"/>
      <c r="B37" s="98" t="s">
        <v>109</v>
      </c>
      <c r="C37" s="104">
        <f aca="true" t="shared" si="6" ref="C37:S37">C33+C39</f>
        <v>230229</v>
      </c>
      <c r="D37" s="104">
        <f t="shared" si="6"/>
        <v>459200</v>
      </c>
      <c r="E37" s="104">
        <f t="shared" si="6"/>
        <v>459200</v>
      </c>
      <c r="F37" s="104">
        <f t="shared" si="6"/>
        <v>1459200</v>
      </c>
      <c r="G37" s="104">
        <f t="shared" si="6"/>
        <v>1401800</v>
      </c>
      <c r="H37" s="104">
        <f t="shared" si="6"/>
        <v>1344400</v>
      </c>
      <c r="I37" s="104">
        <f t="shared" si="6"/>
        <v>1287000</v>
      </c>
      <c r="J37" s="104">
        <f t="shared" si="6"/>
        <v>1229600</v>
      </c>
      <c r="K37" s="104">
        <f t="shared" si="6"/>
        <v>1172200</v>
      </c>
      <c r="L37" s="104">
        <f t="shared" si="6"/>
        <v>1114800</v>
      </c>
      <c r="M37" s="104">
        <f t="shared" si="6"/>
        <v>1057400</v>
      </c>
      <c r="N37" s="104">
        <f t="shared" si="6"/>
        <v>0</v>
      </c>
      <c r="O37" s="104">
        <f t="shared" si="6"/>
        <v>0</v>
      </c>
      <c r="P37" s="104">
        <f t="shared" si="6"/>
        <v>0</v>
      </c>
      <c r="Q37" s="104">
        <f t="shared" si="6"/>
        <v>0</v>
      </c>
      <c r="R37" s="104">
        <f t="shared" si="6"/>
        <v>0</v>
      </c>
      <c r="S37" s="104">
        <f t="shared" si="6"/>
        <v>11215029</v>
      </c>
    </row>
    <row r="38" spans="1:19" ht="12.75">
      <c r="A38" s="96"/>
      <c r="B38" s="98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>
        <f>SUM(C38:J38)</f>
        <v>0</v>
      </c>
    </row>
    <row r="39" spans="1:19" ht="12.75">
      <c r="A39" s="97"/>
      <c r="B39" s="98" t="s">
        <v>110</v>
      </c>
      <c r="C39" s="104">
        <f aca="true" t="shared" si="7" ref="C39:S39">SUM(C40:C41)</f>
        <v>230229</v>
      </c>
      <c r="D39" s="104">
        <f t="shared" si="7"/>
        <v>459200</v>
      </c>
      <c r="E39" s="104">
        <f t="shared" si="7"/>
        <v>459200</v>
      </c>
      <c r="F39" s="104">
        <f t="shared" si="7"/>
        <v>459200</v>
      </c>
      <c r="G39" s="104">
        <f t="shared" si="7"/>
        <v>401800</v>
      </c>
      <c r="H39" s="104">
        <f t="shared" si="7"/>
        <v>344400</v>
      </c>
      <c r="I39" s="104">
        <f t="shared" si="7"/>
        <v>287000</v>
      </c>
      <c r="J39" s="104">
        <f t="shared" si="7"/>
        <v>229600</v>
      </c>
      <c r="K39" s="104">
        <f t="shared" si="7"/>
        <v>172200</v>
      </c>
      <c r="L39" s="104">
        <f t="shared" si="7"/>
        <v>114800</v>
      </c>
      <c r="M39" s="104">
        <f t="shared" si="7"/>
        <v>57400</v>
      </c>
      <c r="N39" s="104">
        <f t="shared" si="7"/>
        <v>0</v>
      </c>
      <c r="O39" s="104">
        <f t="shared" si="7"/>
        <v>0</v>
      </c>
      <c r="P39" s="104">
        <f t="shared" si="7"/>
        <v>0</v>
      </c>
      <c r="Q39" s="104">
        <f t="shared" si="7"/>
        <v>0</v>
      </c>
      <c r="R39" s="104">
        <f t="shared" si="7"/>
        <v>0</v>
      </c>
      <c r="S39" s="104">
        <f t="shared" si="7"/>
        <v>3215029</v>
      </c>
    </row>
    <row r="40" spans="1:19" ht="12.75">
      <c r="A40" s="97">
        <v>1</v>
      </c>
      <c r="B40" s="101" t="s">
        <v>113</v>
      </c>
      <c r="C40" s="102">
        <v>230229</v>
      </c>
      <c r="D40" s="102">
        <v>459200</v>
      </c>
      <c r="E40" s="102">
        <v>459200</v>
      </c>
      <c r="F40" s="102">
        <v>459200</v>
      </c>
      <c r="G40" s="102">
        <v>401800</v>
      </c>
      <c r="H40" s="102">
        <v>344400</v>
      </c>
      <c r="I40" s="102">
        <v>287000</v>
      </c>
      <c r="J40" s="102">
        <v>229600</v>
      </c>
      <c r="K40" s="102">
        <v>172200</v>
      </c>
      <c r="L40" s="102">
        <v>114800</v>
      </c>
      <c r="M40" s="102">
        <v>57400</v>
      </c>
      <c r="N40" s="102"/>
      <c r="O40" s="102"/>
      <c r="P40" s="102"/>
      <c r="Q40" s="102"/>
      <c r="R40" s="102"/>
      <c r="S40" s="100">
        <f>SUM(C40:R40)</f>
        <v>3215029</v>
      </c>
    </row>
    <row r="41" spans="1:19" ht="12.75">
      <c r="A41" s="97">
        <v>2</v>
      </c>
      <c r="B41" s="101"/>
      <c r="C41" s="102">
        <f>((C35+D35+E35)*6.57*30/36500)*12</f>
        <v>0</v>
      </c>
      <c r="D41" s="102">
        <f>((D35+E35)*6.57*30/36500)*12</f>
        <v>0</v>
      </c>
      <c r="E41" s="99">
        <f>((E35)*6.57*30/36500)*12</f>
        <v>0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0">
        <f>SUM(C41:J41)</f>
        <v>0</v>
      </c>
    </row>
    <row r="42" spans="1:19" ht="12.75">
      <c r="A42" s="107"/>
      <c r="B42" s="108"/>
      <c r="C42" s="109"/>
      <c r="D42" s="109"/>
      <c r="E42" s="109"/>
      <c r="F42" s="109"/>
      <c r="G42" s="109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</row>
    <row r="43" spans="1:256" s="114" customFormat="1" ht="18.75">
      <c r="A43" s="112" t="s">
        <v>114</v>
      </c>
      <c r="B43" s="112"/>
      <c r="C43" s="112"/>
      <c r="D43" s="111">
        <f aca="true" t="shared" si="8" ref="D43:R43">D3+D33</f>
        <v>1508113.8399999999</v>
      </c>
      <c r="E43" s="111">
        <f t="shared" si="8"/>
        <v>2630702.8673214614</v>
      </c>
      <c r="F43" s="113">
        <f t="shared" si="8"/>
        <v>12098419.05542709</v>
      </c>
      <c r="G43" s="113">
        <f t="shared" si="8"/>
        <v>12098419.05542709</v>
      </c>
      <c r="H43" s="113">
        <f t="shared" si="8"/>
        <v>12077419.05542709</v>
      </c>
      <c r="I43" s="113">
        <f t="shared" si="8"/>
        <v>11498419.05542709</v>
      </c>
      <c r="J43" s="113">
        <f t="shared" si="8"/>
        <v>11196779.05542709</v>
      </c>
      <c r="K43" s="113">
        <f t="shared" si="8"/>
        <v>2251253.567321461</v>
      </c>
      <c r="L43" s="113">
        <f t="shared" si="8"/>
        <v>2251253.567321461</v>
      </c>
      <c r="M43" s="113">
        <f t="shared" si="8"/>
        <v>2251253.567321461</v>
      </c>
      <c r="N43" s="113">
        <f t="shared" si="8"/>
        <v>1251253.5673214612</v>
      </c>
      <c r="O43" s="113">
        <f t="shared" si="8"/>
        <v>1251253.5673214612</v>
      </c>
      <c r="P43" s="113">
        <f t="shared" si="8"/>
        <v>1251253.5673214612</v>
      </c>
      <c r="Q43" s="113">
        <f t="shared" si="8"/>
        <v>1251253.5673214612</v>
      </c>
      <c r="R43" s="113">
        <f t="shared" si="8"/>
        <v>0</v>
      </c>
      <c r="S43" s="47"/>
      <c r="T43" s="105"/>
      <c r="U43" s="105"/>
      <c r="V43" s="105"/>
      <c r="W43" s="10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11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.75">
      <c r="A45" s="109"/>
      <c r="B45" s="109"/>
      <c r="C45" s="109"/>
      <c r="D45" s="110"/>
      <c r="E45" s="110"/>
      <c r="F45" s="110"/>
      <c r="G45" s="110"/>
      <c r="H45" s="110"/>
      <c r="I45" s="111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.75">
      <c r="A46" s="109"/>
      <c r="B46" s="109"/>
      <c r="C46" s="110"/>
      <c r="D46" s="110"/>
      <c r="E46" s="110"/>
      <c r="F46" s="110"/>
      <c r="G46" s="110"/>
      <c r="H46" s="110"/>
      <c r="I46" s="111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.75">
      <c r="A47" s="92"/>
      <c r="J47" s="110"/>
      <c r="K47" s="110"/>
      <c r="L47" s="110"/>
      <c r="M47" s="110"/>
      <c r="N47" s="110"/>
      <c r="O47" s="110"/>
      <c r="P47" s="110"/>
      <c r="Q47" s="110"/>
      <c r="R47" s="110"/>
      <c r="S47" s="113"/>
    </row>
    <row r="48" spans="1:19" ht="12.75">
      <c r="A48" s="92"/>
      <c r="J48" s="109"/>
      <c r="K48" s="109"/>
      <c r="L48" s="109"/>
      <c r="M48" s="109"/>
      <c r="N48" s="109"/>
      <c r="O48" s="109"/>
      <c r="P48" s="109"/>
      <c r="Q48" s="109"/>
      <c r="R48" s="109"/>
      <c r="S48" s="111"/>
    </row>
    <row r="49" spans="1:19" ht="12.75">
      <c r="A49" s="116"/>
      <c r="B49" s="116"/>
      <c r="C49" s="116"/>
      <c r="D49" s="116"/>
      <c r="E49" s="116"/>
      <c r="F49" s="116"/>
      <c r="G49" s="116"/>
      <c r="H49" s="116"/>
      <c r="I49" s="116"/>
      <c r="J49" s="109"/>
      <c r="K49" s="109"/>
      <c r="L49" s="109"/>
      <c r="M49" s="109"/>
      <c r="N49" s="109"/>
      <c r="O49" s="109"/>
      <c r="P49" s="109"/>
      <c r="Q49" s="109"/>
      <c r="R49" s="109"/>
      <c r="S49" s="111"/>
    </row>
    <row r="50" spans="1:19" ht="12.75">
      <c r="A50" s="116"/>
      <c r="B50" s="116"/>
      <c r="C50" s="116"/>
      <c r="D50" s="116"/>
      <c r="E50" s="116"/>
      <c r="F50" s="116"/>
      <c r="G50" s="116"/>
      <c r="H50" s="116"/>
      <c r="I50" s="116"/>
      <c r="J50" s="109"/>
      <c r="K50" s="109"/>
      <c r="L50" s="109"/>
      <c r="M50" s="109"/>
      <c r="N50" s="109"/>
      <c r="O50" s="109"/>
      <c r="P50" s="109"/>
      <c r="Q50" s="109"/>
      <c r="R50" s="109"/>
      <c r="S50" s="111"/>
    </row>
    <row r="51" spans="1:19" ht="12.75">
      <c r="A51" s="107"/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1"/>
    </row>
    <row r="52" spans="1:19" ht="12.75">
      <c r="A52" s="107"/>
      <c r="B52" s="108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</row>
    <row r="53" spans="1:19" ht="12.75">
      <c r="A53" s="107"/>
      <c r="B53" s="10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1"/>
    </row>
    <row r="54" spans="1:19" ht="12.75">
      <c r="A54" s="107"/>
      <c r="B54" s="108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1"/>
    </row>
    <row r="55" spans="1:19" ht="12.75">
      <c r="A55" s="116"/>
      <c r="B55" s="117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ht="12.75">
      <c r="A56" s="116"/>
      <c r="B56" s="117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1:19" ht="12.75">
      <c r="A57" s="107"/>
      <c r="B57" s="117"/>
      <c r="C57" s="113"/>
      <c r="D57" s="110"/>
      <c r="E57" s="110"/>
      <c r="F57" s="110"/>
      <c r="G57" s="110"/>
      <c r="H57" s="110"/>
      <c r="I57" s="110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ht="12.75">
      <c r="A58" s="107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1"/>
    </row>
    <row r="59" spans="1:19" ht="12.75">
      <c r="A59" s="107"/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1"/>
    </row>
    <row r="60" spans="1:19" ht="12.75">
      <c r="A60" s="107"/>
      <c r="B60" s="117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1"/>
    </row>
    <row r="61" spans="1:19" ht="12.75">
      <c r="A61" s="107"/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1"/>
    </row>
    <row r="62" spans="1:19" ht="12.75">
      <c r="A62" s="107"/>
      <c r="B62" s="108"/>
      <c r="C62" s="109"/>
      <c r="D62" s="109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/>
    </row>
    <row r="63" spans="1:19" ht="12.75">
      <c r="A63" s="107"/>
      <c r="B63" s="108"/>
      <c r="C63" s="109"/>
      <c r="D63" s="109"/>
      <c r="E63" s="109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1"/>
    </row>
    <row r="64" spans="1:19" ht="12.75">
      <c r="A64" s="107"/>
      <c r="B64" s="108"/>
      <c r="C64" s="109"/>
      <c r="D64" s="109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1"/>
    </row>
  </sheetData>
  <sheetProtection/>
  <mergeCells count="1">
    <mergeCell ref="A1:O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72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74"/>
  <sheetViews>
    <sheetView showGridLines="0" defaultGridColor="0" view="pageBreakPreview" zoomScale="80" zoomScaleSheetLayoutView="80" zoomScalePageLayoutView="0" colorId="15" workbookViewId="0" topLeftCell="A1">
      <selection activeCell="N12" activeCellId="1" sqref="O44:T44 N12"/>
    </sheetView>
  </sheetViews>
  <sheetFormatPr defaultColWidth="9.00390625" defaultRowHeight="12.75"/>
  <cols>
    <col min="1" max="1" width="3.875" style="118" customWidth="1"/>
    <col min="2" max="2" width="20.375" style="119" customWidth="1"/>
    <col min="3" max="3" width="9.375" style="120" customWidth="1"/>
    <col min="4" max="4" width="9.00390625" style="120" customWidth="1"/>
    <col min="5" max="5" width="9.375" style="120" customWidth="1"/>
    <col min="6" max="7" width="9.625" style="120" customWidth="1"/>
    <col min="8" max="9" width="9.00390625" style="120" customWidth="1"/>
    <col min="10" max="10" width="9.625" style="120" customWidth="1"/>
    <col min="11" max="11" width="9.25390625" style="120" customWidth="1"/>
    <col min="12" max="20" width="9.625" style="120" customWidth="1"/>
    <col min="21" max="21" width="13.00390625" style="120" customWidth="1"/>
    <col min="22" max="16384" width="9.125" style="120" customWidth="1"/>
  </cols>
  <sheetData>
    <row r="1" ht="21.75" customHeight="1">
      <c r="B1" s="121" t="s">
        <v>115</v>
      </c>
    </row>
    <row r="2" spans="1:20" s="118" customFormat="1" ht="28.5" customHeight="1">
      <c r="A2" s="189" t="s">
        <v>116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1.25">
      <c r="B3" s="122"/>
      <c r="C3" s="122"/>
      <c r="E3" s="123"/>
      <c r="L3" s="123" t="s">
        <v>117</v>
      </c>
      <c r="M3" s="123"/>
      <c r="N3" s="123"/>
      <c r="O3" s="123"/>
      <c r="P3" s="123"/>
      <c r="Q3" s="123"/>
      <c r="R3" s="123"/>
      <c r="S3" s="123"/>
      <c r="T3" s="123"/>
    </row>
    <row r="4" spans="1:21" ht="10.5" customHeight="1">
      <c r="A4" s="124" t="s">
        <v>118</v>
      </c>
      <c r="B4" s="125" t="s">
        <v>119</v>
      </c>
      <c r="C4" s="190" t="s">
        <v>120</v>
      </c>
      <c r="D4" s="190"/>
      <c r="E4" s="190" t="s">
        <v>121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27"/>
    </row>
    <row r="5" spans="1:20" ht="11.25">
      <c r="A5" s="128"/>
      <c r="B5" s="129"/>
      <c r="C5" s="126" t="s">
        <v>122</v>
      </c>
      <c r="D5" s="126" t="s">
        <v>123</v>
      </c>
      <c r="E5" s="126" t="s">
        <v>99</v>
      </c>
      <c r="F5" s="126" t="s">
        <v>100</v>
      </c>
      <c r="G5" s="126">
        <v>2011</v>
      </c>
      <c r="H5" s="126">
        <v>2012</v>
      </c>
      <c r="I5" s="126">
        <v>2013</v>
      </c>
      <c r="J5" s="126">
        <v>2014</v>
      </c>
      <c r="K5" s="126">
        <v>2015</v>
      </c>
      <c r="L5" s="126">
        <v>2016</v>
      </c>
      <c r="M5" s="126">
        <v>2017</v>
      </c>
      <c r="N5" s="126">
        <v>2018</v>
      </c>
      <c r="O5" s="126">
        <v>2019</v>
      </c>
      <c r="P5" s="126">
        <v>2020</v>
      </c>
      <c r="Q5" s="126">
        <v>2021</v>
      </c>
      <c r="R5" s="126">
        <v>2022</v>
      </c>
      <c r="S5" s="126">
        <v>2023</v>
      </c>
      <c r="T5" s="126">
        <v>2024</v>
      </c>
    </row>
    <row r="6" spans="1:20" ht="25.5">
      <c r="A6" s="130">
        <v>1</v>
      </c>
      <c r="B6" s="131" t="s">
        <v>124</v>
      </c>
      <c r="C6" s="132">
        <f aca="true" t="shared" si="0" ref="C6:T6">C7+C8</f>
        <v>39513784</v>
      </c>
      <c r="D6" s="132">
        <f t="shared" si="0"/>
        <v>40781807</v>
      </c>
      <c r="E6" s="133">
        <f t="shared" si="0"/>
        <v>41339802</v>
      </c>
      <c r="F6" s="133">
        <f t="shared" si="0"/>
        <v>41489145</v>
      </c>
      <c r="G6" s="133">
        <f t="shared" si="0"/>
        <v>3335050</v>
      </c>
      <c r="H6" s="133">
        <f t="shared" si="0"/>
        <v>3960776.75</v>
      </c>
      <c r="I6" s="133">
        <f t="shared" si="0"/>
        <v>3880425.4455</v>
      </c>
      <c r="J6" s="133">
        <f t="shared" si="0"/>
        <v>3650449.5021825</v>
      </c>
      <c r="K6" s="133">
        <f t="shared" si="0"/>
        <v>3705206.2447152375</v>
      </c>
      <c r="L6" s="133">
        <f t="shared" si="0"/>
        <v>3760784.338385966</v>
      </c>
      <c r="M6" s="133">
        <f t="shared" si="0"/>
        <v>4567196.103461755</v>
      </c>
      <c r="N6" s="133">
        <f t="shared" si="0"/>
        <v>4628204.045013683</v>
      </c>
      <c r="O6" s="133">
        <f t="shared" si="0"/>
        <v>4697627.105688888</v>
      </c>
      <c r="P6" s="133">
        <f t="shared" si="0"/>
        <v>4768091.512274221</v>
      </c>
      <c r="Q6" s="133">
        <f t="shared" si="0"/>
        <v>4839612.884958334</v>
      </c>
      <c r="R6" s="133">
        <f t="shared" si="0"/>
        <v>4912207.078232709</v>
      </c>
      <c r="S6" s="133">
        <f t="shared" si="0"/>
        <v>4985890.1844062</v>
      </c>
      <c r="T6" s="133">
        <f t="shared" si="0"/>
        <v>5049371.051673481</v>
      </c>
    </row>
    <row r="7" spans="1:20" ht="11.25">
      <c r="A7" s="134">
        <v>2</v>
      </c>
      <c r="B7" s="135" t="s">
        <v>125</v>
      </c>
      <c r="C7" s="136">
        <f>37247802+515784+17198</f>
        <v>37780784</v>
      </c>
      <c r="D7" s="136">
        <f>35488119+3020981+266707</f>
        <v>38775807</v>
      </c>
      <c r="E7" s="136">
        <f>41339802-E9</f>
        <v>39634366</v>
      </c>
      <c r="F7" s="136">
        <f>'[1]zał 1'!C19</f>
        <v>0</v>
      </c>
      <c r="G7" s="136">
        <f>F7*0.035+F7+1500000</f>
        <v>1500000</v>
      </c>
      <c r="H7" s="136">
        <f>G7*0.041+G7</f>
        <v>1561500</v>
      </c>
      <c r="I7" s="136">
        <f>H7*0.045+H7</f>
        <v>1631767.5</v>
      </c>
      <c r="J7" s="136">
        <f>I7*0.025+I7</f>
        <v>1672561.6875</v>
      </c>
      <c r="K7" s="136">
        <f>J7*0.015+J7</f>
        <v>1697650.1128125</v>
      </c>
      <c r="L7" s="136">
        <f>K7*0.015+K7</f>
        <v>1723114.8645046875</v>
      </c>
      <c r="M7" s="136">
        <f>L7*0.015+L7+250000</f>
        <v>1998961.587472258</v>
      </c>
      <c r="N7" s="136">
        <f>M7*0.015+M7+500000</f>
        <v>2528946.011284342</v>
      </c>
      <c r="O7" s="136">
        <f aca="true" t="shared" si="1" ref="O7:T7">N7*0.015+N7</f>
        <v>2566880.201453607</v>
      </c>
      <c r="P7" s="136">
        <f t="shared" si="1"/>
        <v>2605383.4044754114</v>
      </c>
      <c r="Q7" s="136">
        <f t="shared" si="1"/>
        <v>2644464.1555425427</v>
      </c>
      <c r="R7" s="136">
        <f t="shared" si="1"/>
        <v>2684131.117875681</v>
      </c>
      <c r="S7" s="136">
        <f t="shared" si="1"/>
        <v>2724393.084643816</v>
      </c>
      <c r="T7" s="136">
        <f t="shared" si="1"/>
        <v>2765258.9809134733</v>
      </c>
    </row>
    <row r="8" spans="1:20" ht="11.25">
      <c r="A8" s="134">
        <v>3</v>
      </c>
      <c r="B8" s="135" t="s">
        <v>126</v>
      </c>
      <c r="C8" s="137">
        <f>C9</f>
        <v>1733000</v>
      </c>
      <c r="D8" s="136">
        <f>D9</f>
        <v>2006000</v>
      </c>
      <c r="E8" s="136">
        <f>E9</f>
        <v>1705436</v>
      </c>
      <c r="F8" s="136">
        <f>'[1]zał 1'!C20</f>
        <v>41489145</v>
      </c>
      <c r="G8" s="137">
        <f>G9</f>
        <v>1835050</v>
      </c>
      <c r="H8" s="137">
        <f>H9+500000</f>
        <v>2399276.75</v>
      </c>
      <c r="I8" s="137">
        <f>I9+300000</f>
        <v>2248657.9455</v>
      </c>
      <c r="J8" s="137">
        <f>J9</f>
        <v>1977887.8146825</v>
      </c>
      <c r="K8" s="137">
        <f>K9</f>
        <v>2007556.1319027375</v>
      </c>
      <c r="L8" s="137">
        <f>L9</f>
        <v>2037669.4738812787</v>
      </c>
      <c r="M8" s="137">
        <f>M9+500000</f>
        <v>2568234.515989498</v>
      </c>
      <c r="N8" s="137">
        <f aca="true" t="shared" si="2" ref="N8:T8">N9</f>
        <v>2099258.0337293404</v>
      </c>
      <c r="O8" s="137">
        <f t="shared" si="2"/>
        <v>2130746.9042352806</v>
      </c>
      <c r="P8" s="137">
        <f t="shared" si="2"/>
        <v>2162708.1077988097</v>
      </c>
      <c r="Q8" s="137">
        <f t="shared" si="2"/>
        <v>2195148.7294157916</v>
      </c>
      <c r="R8" s="137">
        <f t="shared" si="2"/>
        <v>2228075.9603570285</v>
      </c>
      <c r="S8" s="137">
        <f t="shared" si="2"/>
        <v>2261497.099762384</v>
      </c>
      <c r="T8" s="137">
        <f t="shared" si="2"/>
        <v>2284112.0707600075</v>
      </c>
    </row>
    <row r="9" spans="1:20" ht="22.5">
      <c r="A9" s="134">
        <v>4</v>
      </c>
      <c r="B9" s="135" t="s">
        <v>127</v>
      </c>
      <c r="C9" s="137">
        <v>1733000</v>
      </c>
      <c r="D9" s="136">
        <f>356000+50000+1600000</f>
        <v>2006000</v>
      </c>
      <c r="E9" s="136">
        <f>240688+1464748</f>
        <v>1705436</v>
      </c>
      <c r="F9" s="136">
        <f>'[1]zał 2'!G19</f>
        <v>1715000</v>
      </c>
      <c r="G9" s="136">
        <f>F9*0.07+F9</f>
        <v>1835050</v>
      </c>
      <c r="H9" s="136">
        <f>G9*0.035+G9</f>
        <v>1899276.75</v>
      </c>
      <c r="I9" s="137">
        <f>H9*0.026+H9</f>
        <v>1948657.9455</v>
      </c>
      <c r="J9" s="137">
        <f aca="true" t="shared" si="3" ref="J9:S9">I9*0.015+I9</f>
        <v>1977887.8146825</v>
      </c>
      <c r="K9" s="137">
        <f t="shared" si="3"/>
        <v>2007556.1319027375</v>
      </c>
      <c r="L9" s="137">
        <f t="shared" si="3"/>
        <v>2037669.4738812787</v>
      </c>
      <c r="M9" s="137">
        <f t="shared" si="3"/>
        <v>2068234.5159894978</v>
      </c>
      <c r="N9" s="137">
        <f t="shared" si="3"/>
        <v>2099258.0337293404</v>
      </c>
      <c r="O9" s="137">
        <f t="shared" si="3"/>
        <v>2130746.9042352806</v>
      </c>
      <c r="P9" s="137">
        <f t="shared" si="3"/>
        <v>2162708.1077988097</v>
      </c>
      <c r="Q9" s="137">
        <f t="shared" si="3"/>
        <v>2195148.7294157916</v>
      </c>
      <c r="R9" s="137">
        <f t="shared" si="3"/>
        <v>2228075.9603570285</v>
      </c>
      <c r="S9" s="137">
        <f t="shared" si="3"/>
        <v>2261497.099762384</v>
      </c>
      <c r="T9" s="137">
        <f>S9*0.01+S9</f>
        <v>2284112.0707600075</v>
      </c>
    </row>
    <row r="10" spans="1:20" ht="12.75">
      <c r="A10" s="138">
        <v>5</v>
      </c>
      <c r="B10" s="131" t="s">
        <v>128</v>
      </c>
      <c r="C10" s="132">
        <f aca="true" t="shared" si="4" ref="C10:T10">C11+C12</f>
        <v>36475335</v>
      </c>
      <c r="D10" s="132">
        <f t="shared" si="4"/>
        <v>40722987</v>
      </c>
      <c r="E10" s="132">
        <f t="shared" si="4"/>
        <v>51772342</v>
      </c>
      <c r="F10" s="133">
        <f t="shared" si="4"/>
        <v>56609295.535179</v>
      </c>
      <c r="G10" s="133">
        <f t="shared" si="4"/>
        <v>45435742.57320668</v>
      </c>
      <c r="H10" s="133">
        <f t="shared" si="4"/>
        <v>44532585.9395244</v>
      </c>
      <c r="I10" s="133">
        <f t="shared" si="4"/>
        <v>47223498.34583108</v>
      </c>
      <c r="J10" s="133">
        <f t="shared" si="4"/>
        <v>49050203.29620601</v>
      </c>
      <c r="K10" s="133">
        <f t="shared" si="4"/>
        <v>48370106.95553772</v>
      </c>
      <c r="L10" s="133">
        <f t="shared" si="4"/>
        <v>51512989.52247062</v>
      </c>
      <c r="M10" s="133">
        <f t="shared" si="4"/>
        <v>54047064.26053239</v>
      </c>
      <c r="N10" s="133">
        <f t="shared" si="4"/>
        <v>53760740.86704569</v>
      </c>
      <c r="O10" s="133">
        <f t="shared" si="4"/>
        <v>53244194.94351956</v>
      </c>
      <c r="P10" s="133">
        <f t="shared" si="4"/>
        <v>55175590.452502914</v>
      </c>
      <c r="Q10" s="133">
        <f t="shared" si="4"/>
        <v>56081777.852005474</v>
      </c>
      <c r="R10" s="133">
        <f t="shared" si="4"/>
        <v>57037249.85334157</v>
      </c>
      <c r="S10" s="133">
        <f t="shared" si="4"/>
        <v>58554143.84982177</v>
      </c>
      <c r="T10" s="133">
        <f t="shared" si="4"/>
        <v>61649497.44606731</v>
      </c>
    </row>
    <row r="11" spans="1:20" ht="11.25">
      <c r="A11" s="134">
        <v>6</v>
      </c>
      <c r="B11" s="135" t="s">
        <v>129</v>
      </c>
      <c r="C11" s="137">
        <v>32783361</v>
      </c>
      <c r="D11" s="136">
        <v>35629630</v>
      </c>
      <c r="E11" s="136">
        <v>37662089</v>
      </c>
      <c r="F11" s="136">
        <f>'[1]zał 6'!C26</f>
        <v>41316002.535179</v>
      </c>
      <c r="G11" s="136">
        <f>F11*0.015+F11</f>
        <v>41935742.57320668</v>
      </c>
      <c r="H11" s="137">
        <f>G11*0.018+G11-18000-140000</f>
        <v>42532585.9395244</v>
      </c>
      <c r="I11" s="137">
        <f>H11*0.028+H11+500000</f>
        <v>44223498.34583108</v>
      </c>
      <c r="J11" s="137">
        <f>I11*0.03+I11</f>
        <v>45550203.29620601</v>
      </c>
      <c r="K11" s="137">
        <f>J11*0.018+J11</f>
        <v>46370106.95553772</v>
      </c>
      <c r="L11" s="137">
        <f>K11*0.024+K11-120000</f>
        <v>47362989.52247062</v>
      </c>
      <c r="M11" s="137">
        <f>L11*0.025+L11+2000000</f>
        <v>50547064.26053239</v>
      </c>
      <c r="N11" s="137">
        <f>M11*0.025+M11-50000</f>
        <v>51760740.86704569</v>
      </c>
      <c r="O11" s="137">
        <f>N11*0.019+N11-1000000</f>
        <v>51744194.94351956</v>
      </c>
      <c r="P11" s="137">
        <f>O11*0.018+O11</f>
        <v>52675590.452502914</v>
      </c>
      <c r="Q11" s="137">
        <f>P11*0.021+P11-700000</f>
        <v>53081777.852005474</v>
      </c>
      <c r="R11" s="137">
        <f>Q11*0.018+Q11</f>
        <v>54037249.85334157</v>
      </c>
      <c r="S11" s="137">
        <f>R11*0.024+R11</f>
        <v>55334143.84982177</v>
      </c>
      <c r="T11" s="137">
        <f>S11*0.025+S11</f>
        <v>56717497.44606731</v>
      </c>
    </row>
    <row r="12" spans="1:20" ht="11.25">
      <c r="A12" s="134">
        <v>7</v>
      </c>
      <c r="B12" s="135" t="s">
        <v>130</v>
      </c>
      <c r="C12" s="137">
        <v>3691974</v>
      </c>
      <c r="D12" s="136">
        <v>5093357</v>
      </c>
      <c r="E12" s="136">
        <v>14110253</v>
      </c>
      <c r="F12" s="136">
        <f>'[1]zał 6'!C27</f>
        <v>15293293</v>
      </c>
      <c r="G12" s="136">
        <v>3500000</v>
      </c>
      <c r="H12" s="136">
        <v>2000000</v>
      </c>
      <c r="I12" s="136">
        <v>3000000</v>
      </c>
      <c r="J12" s="137">
        <v>3500000</v>
      </c>
      <c r="K12" s="137">
        <v>2000000</v>
      </c>
      <c r="L12" s="137">
        <v>4150000</v>
      </c>
      <c r="M12" s="137">
        <v>3500000</v>
      </c>
      <c r="N12" s="137">
        <v>2000000</v>
      </c>
      <c r="O12" s="137">
        <v>1500000</v>
      </c>
      <c r="P12" s="137">
        <v>2500000</v>
      </c>
      <c r="Q12" s="137">
        <f>3400000-400000</f>
        <v>3000000</v>
      </c>
      <c r="R12" s="137">
        <f>Q12*1</f>
        <v>3000000</v>
      </c>
      <c r="S12" s="137">
        <v>3220000</v>
      </c>
      <c r="T12" s="137">
        <f>S12*0.6+3000000</f>
        <v>4932000</v>
      </c>
    </row>
    <row r="13" spans="1:20" ht="21">
      <c r="A13" s="134">
        <v>8</v>
      </c>
      <c r="B13" s="139" t="s">
        <v>131</v>
      </c>
      <c r="C13" s="140">
        <f aca="true" t="shared" si="5" ref="C13:T13">C6-C10</f>
        <v>3038449</v>
      </c>
      <c r="D13" s="140">
        <f t="shared" si="5"/>
        <v>58820</v>
      </c>
      <c r="E13" s="141">
        <f t="shared" si="5"/>
        <v>-10432540</v>
      </c>
      <c r="F13" s="141">
        <f t="shared" si="5"/>
        <v>-15120150.535178997</v>
      </c>
      <c r="G13" s="141">
        <f t="shared" si="5"/>
        <v>-42100692.57320668</v>
      </c>
      <c r="H13" s="141">
        <f t="shared" si="5"/>
        <v>-40571809.1895244</v>
      </c>
      <c r="I13" s="141">
        <f t="shared" si="5"/>
        <v>-43343072.90033108</v>
      </c>
      <c r="J13" s="141">
        <f t="shared" si="5"/>
        <v>-45399753.794023514</v>
      </c>
      <c r="K13" s="141">
        <f t="shared" si="5"/>
        <v>-44664900.710822485</v>
      </c>
      <c r="L13" s="141">
        <f t="shared" si="5"/>
        <v>-47752205.184084654</v>
      </c>
      <c r="M13" s="141">
        <f t="shared" si="5"/>
        <v>-49479868.15707063</v>
      </c>
      <c r="N13" s="141">
        <f t="shared" si="5"/>
        <v>-49132536.82203201</v>
      </c>
      <c r="O13" s="141">
        <f t="shared" si="5"/>
        <v>-48546567.83783068</v>
      </c>
      <c r="P13" s="141">
        <f t="shared" si="5"/>
        <v>-50407498.94022869</v>
      </c>
      <c r="Q13" s="141">
        <f t="shared" si="5"/>
        <v>-51242164.96704714</v>
      </c>
      <c r="R13" s="141">
        <f t="shared" si="5"/>
        <v>-52125042.77510886</v>
      </c>
      <c r="S13" s="141">
        <f t="shared" si="5"/>
        <v>-53568253.66541557</v>
      </c>
      <c r="T13" s="141">
        <f t="shared" si="5"/>
        <v>-56600126.39439383</v>
      </c>
    </row>
    <row r="14" spans="1:20" ht="21">
      <c r="A14" s="134">
        <v>9</v>
      </c>
      <c r="B14" s="139" t="s">
        <v>132</v>
      </c>
      <c r="C14" s="141">
        <f aca="true" t="shared" si="6" ref="C14:T14">C15-C28</f>
        <v>-2507196</v>
      </c>
      <c r="D14" s="141">
        <f t="shared" si="6"/>
        <v>-231406.56000000006</v>
      </c>
      <c r="E14" s="141">
        <f t="shared" si="6"/>
        <v>10432540</v>
      </c>
      <c r="F14" s="141">
        <f t="shared" si="6"/>
        <v>15120150.535178997</v>
      </c>
      <c r="G14" s="141">
        <f t="shared" si="6"/>
        <v>42100692.57320668</v>
      </c>
      <c r="H14" s="141">
        <f t="shared" si="6"/>
        <v>-12098419.05542709</v>
      </c>
      <c r="I14" s="141">
        <f t="shared" si="6"/>
        <v>-64768647.300378576</v>
      </c>
      <c r="J14" s="141">
        <f t="shared" si="6"/>
        <v>-120189139.25613675</v>
      </c>
      <c r="K14" s="141">
        <f t="shared" si="6"/>
        <v>-177087312.10558736</v>
      </c>
      <c r="L14" s="141">
        <f t="shared" si="6"/>
        <v>-232948991.87183696</v>
      </c>
      <c r="M14" s="141">
        <f t="shared" si="6"/>
        <v>-282952450.6232431</v>
      </c>
      <c r="N14" s="141">
        <f t="shared" si="6"/>
        <v>-334683572.3476352</v>
      </c>
      <c r="O14" s="141">
        <f t="shared" si="6"/>
        <v>-2251253.567321461</v>
      </c>
      <c r="P14" s="141">
        <f t="shared" si="6"/>
        <v>-52049074.97247361</v>
      </c>
      <c r="Q14" s="141">
        <f t="shared" si="6"/>
        <v>-103707827.48002376</v>
      </c>
      <c r="R14" s="141">
        <f t="shared" si="6"/>
        <v>-156201246.01439235</v>
      </c>
      <c r="S14" s="141">
        <f t="shared" si="6"/>
        <v>-209577542.35682264</v>
      </c>
      <c r="T14" s="141">
        <f t="shared" si="6"/>
        <v>-263145796.0222382</v>
      </c>
    </row>
    <row r="15" spans="1:20" ht="21.75" customHeight="1">
      <c r="A15" s="138">
        <v>10</v>
      </c>
      <c r="B15" s="131" t="s">
        <v>133</v>
      </c>
      <c r="C15" s="142">
        <f aca="true" t="shared" si="7" ref="C15:T15">C16+C18+C20+C21+C23+C25+C26</f>
        <v>399491</v>
      </c>
      <c r="D15" s="142">
        <f t="shared" si="7"/>
        <v>1295280</v>
      </c>
      <c r="E15" s="143">
        <f t="shared" si="7"/>
        <v>12183107</v>
      </c>
      <c r="F15" s="143">
        <f t="shared" si="7"/>
        <v>16628264.375178996</v>
      </c>
      <c r="G15" s="143">
        <f t="shared" si="7"/>
        <v>44731395.44052814</v>
      </c>
      <c r="H15" s="143">
        <f t="shared" si="7"/>
        <v>0</v>
      </c>
      <c r="I15" s="143">
        <f t="shared" si="7"/>
        <v>-52670228.24495149</v>
      </c>
      <c r="J15" s="143">
        <f t="shared" si="7"/>
        <v>-108111720.20070966</v>
      </c>
      <c r="K15" s="143">
        <f t="shared" si="7"/>
        <v>-165588893.05016026</v>
      </c>
      <c r="L15" s="143">
        <f t="shared" si="7"/>
        <v>-221752212.81640986</v>
      </c>
      <c r="M15" s="143">
        <f t="shared" si="7"/>
        <v>-280701197.0559216</v>
      </c>
      <c r="N15" s="143">
        <f t="shared" si="7"/>
        <v>-332432318.78031373</v>
      </c>
      <c r="O15" s="143">
        <f t="shared" si="7"/>
        <v>0</v>
      </c>
      <c r="P15" s="143">
        <f t="shared" si="7"/>
        <v>-50797821.40515214</v>
      </c>
      <c r="Q15" s="143">
        <f t="shared" si="7"/>
        <v>-102456573.91270229</v>
      </c>
      <c r="R15" s="143">
        <f t="shared" si="7"/>
        <v>-154949992.4470709</v>
      </c>
      <c r="S15" s="143">
        <f t="shared" si="7"/>
        <v>-208326288.7895012</v>
      </c>
      <c r="T15" s="143">
        <f t="shared" si="7"/>
        <v>-263145796.0222382</v>
      </c>
    </row>
    <row r="16" spans="1:20" ht="20.25" customHeight="1">
      <c r="A16" s="134">
        <v>11</v>
      </c>
      <c r="B16" s="139" t="s">
        <v>134</v>
      </c>
      <c r="C16" s="137"/>
      <c r="D16" s="136">
        <v>749491</v>
      </c>
      <c r="E16" s="136">
        <f>-E13+E29-E20-E21-E23</f>
        <v>4179339</v>
      </c>
      <c r="F16" s="136">
        <f>-F13+F29-F20-F21-F23</f>
        <v>16624496.375178996</v>
      </c>
      <c r="G16" s="136">
        <f>-G13+G29-G20-G21-G23</f>
        <v>44727627.44052814</v>
      </c>
      <c r="H16" s="136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1:20" ht="56.25">
      <c r="A17" s="134">
        <v>12</v>
      </c>
      <c r="B17" s="135" t="s">
        <v>135</v>
      </c>
      <c r="C17" s="137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ht="20.25" customHeight="1">
      <c r="A18" s="134">
        <v>13</v>
      </c>
      <c r="B18" s="139" t="s">
        <v>136</v>
      </c>
      <c r="C18" s="137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ht="56.25">
      <c r="A19" s="134">
        <v>14</v>
      </c>
      <c r="B19" s="135" t="s">
        <v>137</v>
      </c>
      <c r="C19" s="137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21">
      <c r="A20" s="134">
        <v>15</v>
      </c>
      <c r="B20" s="139" t="s">
        <v>138</v>
      </c>
      <c r="C20" s="137"/>
      <c r="D20" s="137">
        <v>14536</v>
      </c>
      <c r="E20" s="137">
        <v>3768</v>
      </c>
      <c r="F20" s="137">
        <v>3768</v>
      </c>
      <c r="G20" s="137">
        <v>3768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30" customHeight="1">
      <c r="A21" s="134">
        <v>16</v>
      </c>
      <c r="B21" s="139" t="s">
        <v>139</v>
      </c>
      <c r="C21" s="137">
        <v>399491</v>
      </c>
      <c r="D21" s="136">
        <f>C13+C14</f>
        <v>531253</v>
      </c>
      <c r="E21" s="137"/>
      <c r="F21" s="137">
        <f aca="true" t="shared" si="8" ref="F21:N21">E13+E14</f>
        <v>0</v>
      </c>
      <c r="G21" s="137">
        <f t="shared" si="8"/>
        <v>0</v>
      </c>
      <c r="H21" s="137">
        <f t="shared" si="8"/>
        <v>0</v>
      </c>
      <c r="I21" s="137">
        <f t="shared" si="8"/>
        <v>-52670228.24495149</v>
      </c>
      <c r="J21" s="137">
        <f t="shared" si="8"/>
        <v>-108111720.20070966</v>
      </c>
      <c r="K21" s="137">
        <f t="shared" si="8"/>
        <v>-165588893.05016026</v>
      </c>
      <c r="L21" s="137">
        <f t="shared" si="8"/>
        <v>-221752212.81640986</v>
      </c>
      <c r="M21" s="137">
        <f t="shared" si="8"/>
        <v>-280701197.0559216</v>
      </c>
      <c r="N21" s="137">
        <f t="shared" si="8"/>
        <v>-332432318.78031373</v>
      </c>
      <c r="O21" s="137"/>
      <c r="P21" s="137">
        <f>O13+O14</f>
        <v>-50797821.40515214</v>
      </c>
      <c r="Q21" s="137">
        <f>P13+P14</f>
        <v>-102456573.91270229</v>
      </c>
      <c r="R21" s="137">
        <f>Q13+Q14</f>
        <v>-154949992.4470709</v>
      </c>
      <c r="S21" s="137">
        <f>R13+R14</f>
        <v>-208326288.7895012</v>
      </c>
      <c r="T21" s="137">
        <f>S13+S14</f>
        <v>-263145796.0222382</v>
      </c>
    </row>
    <row r="22" spans="1:20" ht="22.5">
      <c r="A22" s="134">
        <v>17</v>
      </c>
      <c r="B22" s="135" t="s">
        <v>140</v>
      </c>
      <c r="C22" s="137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ht="50.25" customHeight="1">
      <c r="A23" s="134">
        <v>18</v>
      </c>
      <c r="B23" s="139" t="s">
        <v>141</v>
      </c>
      <c r="C23" s="137"/>
      <c r="D23" s="136"/>
      <c r="E23" s="136">
        <v>8000000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ht="56.25">
      <c r="A24" s="134">
        <v>19</v>
      </c>
      <c r="B24" s="135" t="s">
        <v>142</v>
      </c>
      <c r="C24" s="137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ht="21">
      <c r="A25" s="134">
        <v>20</v>
      </c>
      <c r="B25" s="139" t="s">
        <v>143</v>
      </c>
      <c r="C25" s="137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20.25" customHeight="1">
      <c r="A26" s="134">
        <v>21</v>
      </c>
      <c r="B26" s="139" t="s">
        <v>144</v>
      </c>
      <c r="C26" s="137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22.5">
      <c r="A27" s="134">
        <v>22</v>
      </c>
      <c r="B27" s="135" t="s">
        <v>145</v>
      </c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23.25" customHeight="1">
      <c r="A28" s="138">
        <v>23</v>
      </c>
      <c r="B28" s="131" t="s">
        <v>146</v>
      </c>
      <c r="C28" s="142">
        <f aca="true" t="shared" si="9" ref="C28:T28">C29+C31+C33+C34+C35+C37</f>
        <v>2906687</v>
      </c>
      <c r="D28" s="142">
        <f t="shared" si="9"/>
        <v>1526686.56</v>
      </c>
      <c r="E28" s="142">
        <f t="shared" si="9"/>
        <v>1750567</v>
      </c>
      <c r="F28" s="142">
        <f t="shared" si="9"/>
        <v>1508113.8399999999</v>
      </c>
      <c r="G28" s="142">
        <f t="shared" si="9"/>
        <v>2630702.8673214614</v>
      </c>
      <c r="H28" s="142">
        <f t="shared" si="9"/>
        <v>12098419.05542709</v>
      </c>
      <c r="I28" s="142">
        <f t="shared" si="9"/>
        <v>12098419.05542709</v>
      </c>
      <c r="J28" s="142">
        <f t="shared" si="9"/>
        <v>12077419.05542709</v>
      </c>
      <c r="K28" s="142">
        <f t="shared" si="9"/>
        <v>11498419.05542709</v>
      </c>
      <c r="L28" s="142">
        <f t="shared" si="9"/>
        <v>11196779.05542709</v>
      </c>
      <c r="M28" s="142">
        <f t="shared" si="9"/>
        <v>2251253.567321461</v>
      </c>
      <c r="N28" s="142">
        <f t="shared" si="9"/>
        <v>2251253.567321461</v>
      </c>
      <c r="O28" s="142">
        <f t="shared" si="9"/>
        <v>2251253.567321461</v>
      </c>
      <c r="P28" s="142">
        <f t="shared" si="9"/>
        <v>1251253.5673214612</v>
      </c>
      <c r="Q28" s="142">
        <f t="shared" si="9"/>
        <v>1251253.5673214612</v>
      </c>
      <c r="R28" s="142">
        <f t="shared" si="9"/>
        <v>1251253.5673214612</v>
      </c>
      <c r="S28" s="142">
        <f t="shared" si="9"/>
        <v>1251253.5673214612</v>
      </c>
      <c r="T28" s="142">
        <f t="shared" si="9"/>
        <v>0</v>
      </c>
    </row>
    <row r="29" spans="1:20" ht="20.25" customHeight="1">
      <c r="A29" s="134">
        <v>24</v>
      </c>
      <c r="B29" s="139" t="s">
        <v>147</v>
      </c>
      <c r="C29" s="137">
        <v>1776687</v>
      </c>
      <c r="D29" s="137">
        <f>(12*55223.88)+(4*120000)+(4*96000)</f>
        <v>1526686.56</v>
      </c>
      <c r="E29" s="137">
        <f>kredyty_2_2!C3</f>
        <v>1750567</v>
      </c>
      <c r="F29" s="137">
        <f>kredyty_2_2!D3</f>
        <v>1508113.8399999999</v>
      </c>
      <c r="G29" s="137">
        <f>kredyty_2_2!E3</f>
        <v>2630702.8673214614</v>
      </c>
      <c r="H29" s="137">
        <f>kredyty_2_2!F3</f>
        <v>11098419.05542709</v>
      </c>
      <c r="I29" s="137">
        <f>kredyty_2_2!G3</f>
        <v>11098419.05542709</v>
      </c>
      <c r="J29" s="137">
        <f>kredyty_2_2!H3</f>
        <v>11077419.05542709</v>
      </c>
      <c r="K29" s="137">
        <f>kredyty_2_2!I3</f>
        <v>10498419.05542709</v>
      </c>
      <c r="L29" s="137">
        <f>kredyty_2_2!J3</f>
        <v>10196779.05542709</v>
      </c>
      <c r="M29" s="137">
        <f>kredyty_2_2!K3</f>
        <v>1251253.5673214612</v>
      </c>
      <c r="N29" s="137">
        <f>kredyty_2_2!L3</f>
        <v>1251253.5673214612</v>
      </c>
      <c r="O29" s="137">
        <f>kredyty_2_2!M3</f>
        <v>1251253.5673214612</v>
      </c>
      <c r="P29" s="137">
        <f>kredyty_2_2!N3</f>
        <v>1251253.5673214612</v>
      </c>
      <c r="Q29" s="137">
        <f>kredyty_2_2!O3</f>
        <v>1251253.5673214612</v>
      </c>
      <c r="R29" s="137">
        <f>kredyty_2_2!P3</f>
        <v>1251253.5673214612</v>
      </c>
      <c r="S29" s="137">
        <f>kredyty_2_2!Q3</f>
        <v>1251253.5673214612</v>
      </c>
      <c r="T29" s="137">
        <f>kredyty_2_2!R3</f>
        <v>0</v>
      </c>
    </row>
    <row r="30" spans="1:20" ht="56.25">
      <c r="A30" s="134">
        <v>25</v>
      </c>
      <c r="B30" s="135" t="s">
        <v>148</v>
      </c>
      <c r="C30" s="137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ht="20.25" customHeight="1">
      <c r="A31" s="134">
        <v>26</v>
      </c>
      <c r="B31" s="139" t="s">
        <v>149</v>
      </c>
      <c r="C31" s="137">
        <v>123000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ht="56.25">
      <c r="A32" s="134">
        <v>27</v>
      </c>
      <c r="B32" s="135" t="s">
        <v>150</v>
      </c>
      <c r="C32" s="137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ht="21">
      <c r="A33" s="134">
        <v>28</v>
      </c>
      <c r="B33" s="139" t="s">
        <v>151</v>
      </c>
      <c r="C33" s="137">
        <v>7000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ht="11.25">
      <c r="A34" s="134">
        <v>29</v>
      </c>
      <c r="B34" s="139" t="s">
        <v>152</v>
      </c>
      <c r="C34" s="137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ht="30" customHeight="1">
      <c r="A35" s="134">
        <v>30</v>
      </c>
      <c r="B35" s="139" t="s">
        <v>153</v>
      </c>
      <c r="C35" s="137">
        <v>1000000</v>
      </c>
      <c r="D35" s="136"/>
      <c r="E35" s="136"/>
      <c r="F35" s="136"/>
      <c r="G35" s="136"/>
      <c r="H35" s="144">
        <v>1000000</v>
      </c>
      <c r="I35" s="144">
        <v>1000000</v>
      </c>
      <c r="J35" s="144">
        <v>1000000</v>
      </c>
      <c r="K35" s="144">
        <v>1000000</v>
      </c>
      <c r="L35" s="144">
        <v>1000000</v>
      </c>
      <c r="M35" s="144">
        <v>1000000</v>
      </c>
      <c r="N35" s="144">
        <v>1000000</v>
      </c>
      <c r="O35" s="144">
        <v>1000000</v>
      </c>
      <c r="P35" s="144"/>
      <c r="Q35" s="144"/>
      <c r="R35" s="144"/>
      <c r="S35" s="144"/>
      <c r="T35" s="144"/>
    </row>
    <row r="36" spans="1:20" ht="56.25">
      <c r="A36" s="134">
        <v>31</v>
      </c>
      <c r="B36" s="135" t="s">
        <v>154</v>
      </c>
      <c r="C36" s="137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ht="11.25">
      <c r="A37" s="134">
        <v>32</v>
      </c>
      <c r="B37" s="139" t="s">
        <v>155</v>
      </c>
      <c r="C37" s="137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ht="11.25">
      <c r="A38" s="134">
        <v>33</v>
      </c>
      <c r="B38" s="139" t="s">
        <v>156</v>
      </c>
      <c r="C38" s="136">
        <v>100000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ht="32.25" customHeight="1">
      <c r="A39" s="138">
        <v>34</v>
      </c>
      <c r="B39" s="131" t="s">
        <v>157</v>
      </c>
      <c r="C39" s="132">
        <f aca="true" t="shared" si="10" ref="C39:T39">C40+C41+C42+C43+C44+C47</f>
        <v>3893902</v>
      </c>
      <c r="D39" s="132">
        <f t="shared" si="10"/>
        <v>3116330.44</v>
      </c>
      <c r="E39" s="133">
        <f t="shared" si="10"/>
        <v>13545102.44</v>
      </c>
      <c r="F39" s="133">
        <f t="shared" si="10"/>
        <v>28661484.975178998</v>
      </c>
      <c r="G39" s="133">
        <f t="shared" si="10"/>
        <v>70758409.54838568</v>
      </c>
      <c r="H39" s="133">
        <f t="shared" si="10"/>
        <v>58659990.49295859</v>
      </c>
      <c r="I39" s="133">
        <f t="shared" si="10"/>
        <v>46561571.4375315</v>
      </c>
      <c r="J39" s="133">
        <f t="shared" si="10"/>
        <v>34484152.38210441</v>
      </c>
      <c r="K39" s="133">
        <f t="shared" si="10"/>
        <v>22985733.326677322</v>
      </c>
      <c r="L39" s="133">
        <f t="shared" si="10"/>
        <v>11788954.271250233</v>
      </c>
      <c r="M39" s="133">
        <f t="shared" si="10"/>
        <v>9537700.703928772</v>
      </c>
      <c r="N39" s="133">
        <f t="shared" si="10"/>
        <v>7286447.136607312</v>
      </c>
      <c r="O39" s="133">
        <f t="shared" si="10"/>
        <v>5035193.569285851</v>
      </c>
      <c r="P39" s="133">
        <f t="shared" si="10"/>
        <v>3783940.00196439</v>
      </c>
      <c r="Q39" s="133">
        <f t="shared" si="10"/>
        <v>2532686.4346429287</v>
      </c>
      <c r="R39" s="133">
        <f t="shared" si="10"/>
        <v>1281432.8673214675</v>
      </c>
      <c r="S39" s="133">
        <f t="shared" si="10"/>
        <v>0</v>
      </c>
      <c r="T39" s="133">
        <f t="shared" si="10"/>
        <v>0</v>
      </c>
    </row>
    <row r="40" spans="1:20" ht="21">
      <c r="A40" s="134">
        <v>35</v>
      </c>
      <c r="B40" s="139" t="s">
        <v>158</v>
      </c>
      <c r="C40" s="136"/>
      <c r="D40" s="136"/>
      <c r="E40" s="136">
        <v>8000000</v>
      </c>
      <c r="F40" s="136">
        <v>8000000</v>
      </c>
      <c r="G40" s="136">
        <v>8000000</v>
      </c>
      <c r="H40" s="136">
        <v>7000000</v>
      </c>
      <c r="I40" s="136">
        <v>6000000</v>
      </c>
      <c r="J40" s="136">
        <v>5000000</v>
      </c>
      <c r="K40" s="136">
        <v>4000000</v>
      </c>
      <c r="L40" s="136">
        <v>3000000</v>
      </c>
      <c r="M40" s="136">
        <v>2000000</v>
      </c>
      <c r="N40" s="136">
        <v>1000000</v>
      </c>
      <c r="O40" s="136"/>
      <c r="P40" s="136"/>
      <c r="Q40" s="136"/>
      <c r="R40" s="136"/>
      <c r="S40" s="136"/>
      <c r="T40" s="136"/>
    </row>
    <row r="41" spans="1:20" ht="11.25">
      <c r="A41" s="134">
        <v>36</v>
      </c>
      <c r="B41" s="139" t="s">
        <v>159</v>
      </c>
      <c r="C41" s="136">
        <v>3893525</v>
      </c>
      <c r="D41" s="136">
        <f>C41+D16-D29+1</f>
        <v>3116330.44</v>
      </c>
      <c r="E41" s="136">
        <f aca="true" t="shared" si="11" ref="E41:R41">D41+E16-E29</f>
        <v>5545102.4399999995</v>
      </c>
      <c r="F41" s="136">
        <f t="shared" si="11"/>
        <v>20661484.975178998</v>
      </c>
      <c r="G41" s="136">
        <f t="shared" si="11"/>
        <v>62758409.54838568</v>
      </c>
      <c r="H41" s="136">
        <f t="shared" si="11"/>
        <v>51659990.49295859</v>
      </c>
      <c r="I41" s="136">
        <f t="shared" si="11"/>
        <v>40561571.4375315</v>
      </c>
      <c r="J41" s="137">
        <f t="shared" si="11"/>
        <v>29484152.38210441</v>
      </c>
      <c r="K41" s="137">
        <f t="shared" si="11"/>
        <v>18985733.326677322</v>
      </c>
      <c r="L41" s="137">
        <f t="shared" si="11"/>
        <v>8788954.271250233</v>
      </c>
      <c r="M41" s="137">
        <f t="shared" si="11"/>
        <v>7537700.703928772</v>
      </c>
      <c r="N41" s="137">
        <f t="shared" si="11"/>
        <v>6286447.136607312</v>
      </c>
      <c r="O41" s="137">
        <f t="shared" si="11"/>
        <v>5035193.569285851</v>
      </c>
      <c r="P41" s="137">
        <f t="shared" si="11"/>
        <v>3783940.00196439</v>
      </c>
      <c r="Q41" s="137">
        <f t="shared" si="11"/>
        <v>2532686.4346429287</v>
      </c>
      <c r="R41" s="137">
        <f t="shared" si="11"/>
        <v>1281432.8673214675</v>
      </c>
      <c r="S41" s="137"/>
      <c r="T41" s="137"/>
    </row>
    <row r="42" spans="1:20" ht="11.25">
      <c r="A42" s="134">
        <v>37</v>
      </c>
      <c r="B42" s="145" t="s">
        <v>160</v>
      </c>
      <c r="C42" s="14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ht="18.75">
      <c r="A43" s="134">
        <v>38</v>
      </c>
      <c r="B43" s="145" t="s">
        <v>161</v>
      </c>
      <c r="C43" s="14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30" customHeight="1">
      <c r="A44" s="134">
        <v>39</v>
      </c>
      <c r="B44" s="145" t="s">
        <v>162</v>
      </c>
      <c r="C44" s="146">
        <f aca="true" t="shared" si="12" ref="C44:O44">C45+C46</f>
        <v>377</v>
      </c>
      <c r="D44" s="146">
        <f t="shared" si="12"/>
        <v>0</v>
      </c>
      <c r="E44" s="147">
        <f t="shared" si="12"/>
        <v>0</v>
      </c>
      <c r="F44" s="147">
        <f t="shared" si="12"/>
        <v>0</v>
      </c>
      <c r="G44" s="147">
        <f t="shared" si="12"/>
        <v>0</v>
      </c>
      <c r="H44" s="147">
        <f t="shared" si="12"/>
        <v>0</v>
      </c>
      <c r="I44" s="147">
        <f t="shared" si="12"/>
        <v>0</v>
      </c>
      <c r="J44" s="147">
        <f t="shared" si="12"/>
        <v>0</v>
      </c>
      <c r="K44" s="147">
        <f t="shared" si="12"/>
        <v>0</v>
      </c>
      <c r="L44" s="147">
        <f t="shared" si="12"/>
        <v>0</v>
      </c>
      <c r="M44" s="147">
        <f t="shared" si="12"/>
        <v>0</v>
      </c>
      <c r="N44" s="147">
        <f t="shared" si="12"/>
        <v>0</v>
      </c>
      <c r="O44" s="147">
        <f t="shared" si="12"/>
        <v>0</v>
      </c>
      <c r="P44" s="147"/>
      <c r="Q44" s="147"/>
      <c r="R44" s="147"/>
      <c r="S44" s="147"/>
      <c r="T44" s="147"/>
    </row>
    <row r="45" spans="1:20" ht="42.75" customHeight="1">
      <c r="A45" s="134">
        <v>40</v>
      </c>
      <c r="B45" s="148" t="s">
        <v>163</v>
      </c>
      <c r="C45" s="146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53.25" customHeight="1">
      <c r="A46" s="134">
        <v>41</v>
      </c>
      <c r="B46" s="148" t="s">
        <v>164</v>
      </c>
      <c r="C46" s="146">
        <v>377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63" customHeight="1">
      <c r="A47" s="191">
        <v>42</v>
      </c>
      <c r="B47" s="145" t="s">
        <v>165</v>
      </c>
      <c r="C47" s="146">
        <f aca="true" t="shared" si="13" ref="C47:O47">SUM(C48:C50)</f>
        <v>0</v>
      </c>
      <c r="D47" s="146">
        <f t="shared" si="13"/>
        <v>0</v>
      </c>
      <c r="E47" s="147">
        <f t="shared" si="13"/>
        <v>0</v>
      </c>
      <c r="F47" s="147">
        <f t="shared" si="13"/>
        <v>0</v>
      </c>
      <c r="G47" s="147">
        <f t="shared" si="13"/>
        <v>0</v>
      </c>
      <c r="H47" s="147">
        <f t="shared" si="13"/>
        <v>0</v>
      </c>
      <c r="I47" s="147">
        <f t="shared" si="13"/>
        <v>0</v>
      </c>
      <c r="J47" s="147">
        <f t="shared" si="13"/>
        <v>0</v>
      </c>
      <c r="K47" s="147">
        <f t="shared" si="13"/>
        <v>0</v>
      </c>
      <c r="L47" s="147">
        <f t="shared" si="13"/>
        <v>0</v>
      </c>
      <c r="M47" s="147">
        <f t="shared" si="13"/>
        <v>0</v>
      </c>
      <c r="N47" s="147">
        <f t="shared" si="13"/>
        <v>0</v>
      </c>
      <c r="O47" s="147">
        <f t="shared" si="13"/>
        <v>0</v>
      </c>
      <c r="P47" s="147"/>
      <c r="Q47" s="147"/>
      <c r="R47" s="147"/>
      <c r="S47" s="147"/>
      <c r="T47" s="147"/>
    </row>
    <row r="48" spans="1:20" ht="11.25">
      <c r="A48" s="191">
        <v>43</v>
      </c>
      <c r="B48" s="148" t="s">
        <v>166</v>
      </c>
      <c r="C48" s="146"/>
      <c r="D48" s="149"/>
      <c r="E48" s="149"/>
      <c r="F48" s="136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1.25">
      <c r="A49" s="191">
        <v>44</v>
      </c>
      <c r="B49" s="148" t="s">
        <v>167</v>
      </c>
      <c r="C49" s="146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</row>
    <row r="50" spans="1:20" ht="22.5">
      <c r="A50" s="191">
        <v>45</v>
      </c>
      <c r="B50" s="148" t="s">
        <v>168</v>
      </c>
      <c r="C50" s="146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</row>
    <row r="51" spans="1:20" ht="35.25" customHeight="1">
      <c r="A51" s="138">
        <v>43</v>
      </c>
      <c r="B51" s="131" t="s">
        <v>169</v>
      </c>
      <c r="C51" s="150">
        <f aca="true" t="shared" si="14" ref="C51:T51">C39/C6*100</f>
        <v>9.8545408862892</v>
      </c>
      <c r="D51" s="150">
        <f t="shared" si="14"/>
        <v>7.641472188812036</v>
      </c>
      <c r="E51" s="150">
        <f t="shared" si="14"/>
        <v>32.765281362499024</v>
      </c>
      <c r="F51" s="150">
        <f t="shared" si="14"/>
        <v>69.08188870891169</v>
      </c>
      <c r="G51" s="150">
        <f t="shared" si="14"/>
        <v>2121.6596317412236</v>
      </c>
      <c r="H51" s="150">
        <f t="shared" si="14"/>
        <v>1481.0223901904744</v>
      </c>
      <c r="I51" s="150">
        <f t="shared" si="14"/>
        <v>1199.9089298707543</v>
      </c>
      <c r="J51" s="150">
        <f t="shared" si="14"/>
        <v>944.6549626693184</v>
      </c>
      <c r="K51" s="150">
        <f t="shared" si="14"/>
        <v>620.3631271393338</v>
      </c>
      <c r="L51" s="150">
        <f t="shared" si="14"/>
        <v>313.47062768054803</v>
      </c>
      <c r="M51" s="150">
        <f t="shared" si="14"/>
        <v>208.83054915683542</v>
      </c>
      <c r="N51" s="150">
        <f t="shared" si="14"/>
        <v>157.43573675100944</v>
      </c>
      <c r="O51" s="150">
        <f t="shared" si="14"/>
        <v>107.18589313290035</v>
      </c>
      <c r="P51" s="150">
        <f t="shared" si="14"/>
        <v>79.35963460901732</v>
      </c>
      <c r="Q51" s="150">
        <f t="shared" si="14"/>
        <v>52.33241779553476</v>
      </c>
      <c r="R51" s="150">
        <f t="shared" si="14"/>
        <v>26.08670292015652</v>
      </c>
      <c r="S51" s="150">
        <f t="shared" si="14"/>
        <v>0</v>
      </c>
      <c r="T51" s="150">
        <f t="shared" si="14"/>
        <v>0</v>
      </c>
    </row>
    <row r="52" spans="1:20" ht="45.75" customHeight="1">
      <c r="A52" s="151">
        <v>44</v>
      </c>
      <c r="B52" s="145" t="s">
        <v>170</v>
      </c>
      <c r="C52" s="152">
        <f aca="true" t="shared" si="15" ref="C52:T52">(C39-C47)/C6%</f>
        <v>9.854540886289199</v>
      </c>
      <c r="D52" s="152">
        <f t="shared" si="15"/>
        <v>7.641472188812036</v>
      </c>
      <c r="E52" s="152">
        <f t="shared" si="15"/>
        <v>32.765281362499024</v>
      </c>
      <c r="F52" s="152">
        <f t="shared" si="15"/>
        <v>69.08188870891169</v>
      </c>
      <c r="G52" s="152">
        <f t="shared" si="15"/>
        <v>2121.6596317412236</v>
      </c>
      <c r="H52" s="152">
        <f t="shared" si="15"/>
        <v>1481.0223901904744</v>
      </c>
      <c r="I52" s="152">
        <f t="shared" si="15"/>
        <v>1199.9089298707543</v>
      </c>
      <c r="J52" s="152">
        <f t="shared" si="15"/>
        <v>944.6549626693183</v>
      </c>
      <c r="K52" s="152">
        <f t="shared" si="15"/>
        <v>620.3631271393338</v>
      </c>
      <c r="L52" s="152">
        <f t="shared" si="15"/>
        <v>313.47062768054803</v>
      </c>
      <c r="M52" s="152">
        <f t="shared" si="15"/>
        <v>208.83054915683542</v>
      </c>
      <c r="N52" s="152">
        <f t="shared" si="15"/>
        <v>157.43573675100942</v>
      </c>
      <c r="O52" s="152">
        <f t="shared" si="15"/>
        <v>107.18589313290035</v>
      </c>
      <c r="P52" s="152">
        <f t="shared" si="15"/>
        <v>79.35963460901732</v>
      </c>
      <c r="Q52" s="152">
        <f t="shared" si="15"/>
        <v>52.33241779553476</v>
      </c>
      <c r="R52" s="152">
        <f t="shared" si="15"/>
        <v>26.086702920156522</v>
      </c>
      <c r="S52" s="152">
        <f t="shared" si="15"/>
        <v>0</v>
      </c>
      <c r="T52" s="152">
        <f t="shared" si="15"/>
        <v>0</v>
      </c>
    </row>
    <row r="53" spans="1:20" ht="51" customHeight="1">
      <c r="A53" s="138">
        <v>45</v>
      </c>
      <c r="B53" s="131" t="s">
        <v>171</v>
      </c>
      <c r="C53" s="132">
        <f aca="true" t="shared" si="16" ref="C53:T53">C54+C55+C56+C57+C58+C59</f>
        <v>3383116</v>
      </c>
      <c r="D53" s="132">
        <f t="shared" si="16"/>
        <v>1777354</v>
      </c>
      <c r="E53" s="133">
        <f t="shared" si="16"/>
        <v>2597473.1961961645</v>
      </c>
      <c r="F53" s="133">
        <f t="shared" si="16"/>
        <v>2085530.4299047203</v>
      </c>
      <c r="G53" s="133">
        <f t="shared" si="16"/>
        <v>2806912.074489943</v>
      </c>
      <c r="H53" s="133">
        <f t="shared" si="16"/>
        <v>3573862.6968001365</v>
      </c>
      <c r="I53" s="133">
        <f t="shared" si="16"/>
        <v>3432864.694059484</v>
      </c>
      <c r="J53" s="133">
        <f t="shared" si="16"/>
        <v>3305206.911318831</v>
      </c>
      <c r="K53" s="133">
        <f t="shared" si="16"/>
        <v>3173273.678578179</v>
      </c>
      <c r="L53" s="133">
        <f t="shared" si="16"/>
        <v>3046642.0858375262</v>
      </c>
      <c r="M53" s="133">
        <f t="shared" si="16"/>
        <v>2913281.273096874</v>
      </c>
      <c r="N53" s="133">
        <f t="shared" si="16"/>
        <v>2787167.2803562214</v>
      </c>
      <c r="O53" s="133">
        <f t="shared" si="16"/>
        <v>2407801.338643437</v>
      </c>
      <c r="P53" s="133">
        <f t="shared" si="16"/>
        <v>1297281.5561321399</v>
      </c>
      <c r="Q53" s="133">
        <f t="shared" si="16"/>
        <v>1263483.8036208432</v>
      </c>
      <c r="R53" s="133">
        <f t="shared" si="16"/>
        <v>1209889.6671095465</v>
      </c>
      <c r="S53" s="133">
        <f t="shared" si="16"/>
        <v>409490.22</v>
      </c>
      <c r="T53" s="133">
        <f t="shared" si="16"/>
        <v>401019.02</v>
      </c>
    </row>
    <row r="54" spans="1:20" ht="36">
      <c r="A54" s="134">
        <v>46</v>
      </c>
      <c r="B54" s="145" t="s">
        <v>172</v>
      </c>
      <c r="C54" s="146">
        <v>2199423</v>
      </c>
      <c r="D54" s="146">
        <v>1777354</v>
      </c>
      <c r="E54" s="146">
        <f>kredyty_2!C15</f>
        <v>1922040.7961961643</v>
      </c>
      <c r="F54" s="146">
        <f>kredyty_2!D15</f>
        <v>1181307.4399047203</v>
      </c>
      <c r="G54" s="147">
        <f>kredyty_2!E15</f>
        <v>1871450.374489943</v>
      </c>
      <c r="H54" s="147">
        <f>kredyty_2!F15</f>
        <v>1648951.7868001366</v>
      </c>
      <c r="I54" s="147">
        <f>kredyty_2!G15</f>
        <v>1587660.364059484</v>
      </c>
      <c r="J54" s="147">
        <f>kredyty_2!H15</f>
        <v>1526368.9413188314</v>
      </c>
      <c r="K54" s="147">
        <f>kredyty_2!I15</f>
        <v>1465077.518578179</v>
      </c>
      <c r="L54" s="147">
        <f>kredyty_2!J15</f>
        <v>1403786.0958375265</v>
      </c>
      <c r="M54" s="147">
        <f>kredyty_2!K15</f>
        <v>1342494.6730968738</v>
      </c>
      <c r="N54" s="147">
        <f>kredyty_2!L15</f>
        <v>1281203.2503562213</v>
      </c>
      <c r="O54" s="147">
        <f>kredyty_2!M15</f>
        <v>948373.5186434367</v>
      </c>
      <c r="P54" s="147">
        <f>kredyty_2!N15</f>
        <v>903102.8561321399</v>
      </c>
      <c r="Q54" s="147">
        <f>kredyty_2!O15</f>
        <v>857832.1936208432</v>
      </c>
      <c r="R54" s="147">
        <f>kredyty_2!P15</f>
        <v>812510.9871095465</v>
      </c>
      <c r="S54" s="147">
        <f>kredyty_2!Q15</f>
        <v>0</v>
      </c>
      <c r="T54" s="147">
        <f>kredyty_2!R15</f>
        <v>0</v>
      </c>
    </row>
    <row r="55" spans="1:20" ht="36">
      <c r="A55" s="134">
        <v>47</v>
      </c>
      <c r="B55" s="145" t="s">
        <v>173</v>
      </c>
      <c r="C55" s="146">
        <v>123417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</row>
    <row r="56" spans="1:20" ht="40.5" customHeight="1">
      <c r="A56" s="134">
        <v>48</v>
      </c>
      <c r="B56" s="145" t="s">
        <v>174</v>
      </c>
      <c r="C56" s="146"/>
      <c r="D56" s="146"/>
      <c r="E56" s="146">
        <f>poreczenia!D13+poreczenia!E13</f>
        <v>445203.4</v>
      </c>
      <c r="F56" s="146">
        <f>poreczenia!E13+poreczenia!F13</f>
        <v>445022.99</v>
      </c>
      <c r="G56" s="147">
        <f>poreczenia!F13+poreczenia!G13</f>
        <v>476261.7</v>
      </c>
      <c r="H56" s="147">
        <f>poreczenia!G13+poreczenia!H13</f>
        <v>465710.91000000003</v>
      </c>
      <c r="I56" s="147">
        <f>poreczenia!H13+poreczenia!I13</f>
        <v>443404.32999999996</v>
      </c>
      <c r="J56" s="147">
        <f>poreczenia!I13+poreczenia!J13</f>
        <v>434437.97</v>
      </c>
      <c r="K56" s="147">
        <f>poreczenia!J13+poreczenia!K13</f>
        <v>421196.16000000003</v>
      </c>
      <c r="L56" s="147">
        <f>poreczenia!K13+poreczenia!L13</f>
        <v>413255.99</v>
      </c>
      <c r="M56" s="147">
        <f>poreczenia!L13+poreczenia!M13</f>
        <v>398586.6</v>
      </c>
      <c r="N56" s="147">
        <f>poreczenia!M13+poreczenia!N13</f>
        <v>391164.03</v>
      </c>
      <c r="O56" s="147">
        <f>poreczenia!N13+poreczenia!O13</f>
        <v>402027.82</v>
      </c>
      <c r="P56" s="147">
        <f>poreczenia!O13+poreczenia!P13</f>
        <v>394178.69999999995</v>
      </c>
      <c r="Q56" s="147">
        <f>poreczenia!P13+poreczenia!Q13</f>
        <v>405651.61</v>
      </c>
      <c r="R56" s="147">
        <f>poreczenia!Q13+poreczenia!R13</f>
        <v>397378.67999999993</v>
      </c>
      <c r="S56" s="147">
        <f>poreczenia!R13+poreczenia!S13</f>
        <v>409490.22</v>
      </c>
      <c r="T56" s="147">
        <f>poreczenia!S13+poreczenia!T13</f>
        <v>401019.02</v>
      </c>
    </row>
    <row r="57" spans="1:20" ht="75" customHeight="1">
      <c r="A57" s="134">
        <v>49</v>
      </c>
      <c r="B57" s="145" t="s">
        <v>175</v>
      </c>
      <c r="C57" s="146">
        <v>1060276</v>
      </c>
      <c r="D57" s="146"/>
      <c r="E57" s="146">
        <v>230229</v>
      </c>
      <c r="F57" s="146">
        <v>459200</v>
      </c>
      <c r="G57" s="146">
        <v>459200</v>
      </c>
      <c r="H57" s="146">
        <v>1459200</v>
      </c>
      <c r="I57" s="146">
        <v>1401800</v>
      </c>
      <c r="J57" s="146">
        <v>1344400</v>
      </c>
      <c r="K57" s="146">
        <v>1287000</v>
      </c>
      <c r="L57" s="146">
        <v>1229600</v>
      </c>
      <c r="M57" s="146">
        <v>1172200</v>
      </c>
      <c r="N57" s="146">
        <v>1114800</v>
      </c>
      <c r="O57" s="146">
        <v>1057400</v>
      </c>
      <c r="P57" s="146"/>
      <c r="Q57" s="146"/>
      <c r="R57" s="146"/>
      <c r="S57" s="146"/>
      <c r="T57" s="146"/>
    </row>
    <row r="58" spans="1:20" ht="59.25" customHeight="1">
      <c r="A58" s="134">
        <v>50</v>
      </c>
      <c r="B58" s="145" t="s">
        <v>176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</row>
    <row r="59" spans="1:20" ht="63.75" customHeight="1">
      <c r="A59" s="191">
        <v>51</v>
      </c>
      <c r="B59" s="145" t="s">
        <v>177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</row>
    <row r="60" spans="1:20" ht="22.5">
      <c r="A60" s="191"/>
      <c r="B60" s="148" t="s">
        <v>178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</row>
    <row r="61" spans="1:20" ht="22.5">
      <c r="A61" s="191"/>
      <c r="B61" s="148" t="s">
        <v>179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</row>
    <row r="62" spans="1:20" ht="33.75">
      <c r="A62" s="191"/>
      <c r="B62" s="148" t="s">
        <v>180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0" ht="64.5" customHeight="1">
      <c r="A63" s="191"/>
      <c r="B63" s="148" t="s">
        <v>181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0" ht="55.5" customHeight="1">
      <c r="A64" s="138">
        <v>52</v>
      </c>
      <c r="B64" s="131" t="s">
        <v>182</v>
      </c>
      <c r="C64" s="150">
        <f aca="true" t="shared" si="17" ref="C64:T64">C53/C6*100</f>
        <v>8.561862867904527</v>
      </c>
      <c r="D64" s="150">
        <f t="shared" si="17"/>
        <v>4.358203156618342</v>
      </c>
      <c r="E64" s="150">
        <f t="shared" si="17"/>
        <v>6.283226020763633</v>
      </c>
      <c r="F64" s="150">
        <f t="shared" si="17"/>
        <v>5.026689342247762</v>
      </c>
      <c r="G64" s="150">
        <f t="shared" si="17"/>
        <v>84.16401776554903</v>
      </c>
      <c r="H64" s="150">
        <f t="shared" si="17"/>
        <v>90.23135921003718</v>
      </c>
      <c r="I64" s="150">
        <f t="shared" si="17"/>
        <v>88.466193778841</v>
      </c>
      <c r="J64" s="150">
        <f t="shared" si="17"/>
        <v>90.54246358818939</v>
      </c>
      <c r="K64" s="150">
        <f t="shared" si="17"/>
        <v>85.6436448876292</v>
      </c>
      <c r="L64" s="150">
        <f t="shared" si="17"/>
        <v>81.01081614121665</v>
      </c>
      <c r="M64" s="150">
        <f t="shared" si="17"/>
        <v>63.787085272925346</v>
      </c>
      <c r="N64" s="150">
        <f t="shared" si="17"/>
        <v>60.22135699395209</v>
      </c>
      <c r="O64" s="150">
        <f t="shared" si="17"/>
        <v>51.25569323558181</v>
      </c>
      <c r="P64" s="150">
        <f t="shared" si="17"/>
        <v>27.207564133209765</v>
      </c>
      <c r="Q64" s="150">
        <f t="shared" si="17"/>
        <v>26.107125376655425</v>
      </c>
      <c r="R64" s="150">
        <f t="shared" si="17"/>
        <v>24.63026594442421</v>
      </c>
      <c r="S64" s="150">
        <f t="shared" si="17"/>
        <v>8.212981129843488</v>
      </c>
      <c r="T64" s="150">
        <f t="shared" si="17"/>
        <v>7.941959818284553</v>
      </c>
    </row>
    <row r="65" spans="1:20" s="153" customFormat="1" ht="58.5">
      <c r="A65" s="134">
        <v>53</v>
      </c>
      <c r="B65" s="145" t="s">
        <v>183</v>
      </c>
      <c r="C65" s="152">
        <f aca="true" t="shared" si="18" ref="C65:T65">(C53-C59)/C6%</f>
        <v>8.561862867904527</v>
      </c>
      <c r="D65" s="152">
        <f t="shared" si="18"/>
        <v>4.358203156618342</v>
      </c>
      <c r="E65" s="152">
        <f t="shared" si="18"/>
        <v>6.283226020763632</v>
      </c>
      <c r="F65" s="152">
        <f t="shared" si="18"/>
        <v>5.026689342247762</v>
      </c>
      <c r="G65" s="152">
        <f t="shared" si="18"/>
        <v>84.16401776554903</v>
      </c>
      <c r="H65" s="152">
        <f t="shared" si="18"/>
        <v>90.23135921003718</v>
      </c>
      <c r="I65" s="152">
        <f t="shared" si="18"/>
        <v>88.46619377884099</v>
      </c>
      <c r="J65" s="152">
        <f t="shared" si="18"/>
        <v>90.54246358818939</v>
      </c>
      <c r="K65" s="152">
        <f t="shared" si="18"/>
        <v>85.64364488762918</v>
      </c>
      <c r="L65" s="152">
        <f t="shared" si="18"/>
        <v>81.01081614121665</v>
      </c>
      <c r="M65" s="152">
        <f t="shared" si="18"/>
        <v>63.78708527292535</v>
      </c>
      <c r="N65" s="152">
        <f t="shared" si="18"/>
        <v>60.22135699395209</v>
      </c>
      <c r="O65" s="152">
        <f t="shared" si="18"/>
        <v>51.25569323558181</v>
      </c>
      <c r="P65" s="152">
        <f t="shared" si="18"/>
        <v>27.207564133209765</v>
      </c>
      <c r="Q65" s="152">
        <f t="shared" si="18"/>
        <v>26.10712537665543</v>
      </c>
      <c r="R65" s="152">
        <f t="shared" si="18"/>
        <v>24.63026594442421</v>
      </c>
      <c r="S65" s="152">
        <f t="shared" si="18"/>
        <v>8.212981129843488</v>
      </c>
      <c r="T65" s="152">
        <f t="shared" si="18"/>
        <v>7.941959818284553</v>
      </c>
    </row>
    <row r="66" spans="1:20" ht="34.5" customHeight="1">
      <c r="A66" s="192" t="s">
        <v>184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</row>
    <row r="67" spans="1:20" ht="11.25">
      <c r="A67" s="154">
        <v>54</v>
      </c>
      <c r="B67" s="155" t="s">
        <v>185</v>
      </c>
      <c r="C67" s="156">
        <f>C7</f>
        <v>37780784</v>
      </c>
      <c r="D67" s="156">
        <f>D7</f>
        <v>38775807</v>
      </c>
      <c r="E67" s="157">
        <f>E7</f>
        <v>39634366</v>
      </c>
      <c r="F67" s="158"/>
      <c r="G67" s="158"/>
      <c r="H67" s="158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</row>
    <row r="68" spans="1:20" ht="11.25">
      <c r="A68" s="154">
        <v>55</v>
      </c>
      <c r="B68" s="155" t="s">
        <v>186</v>
      </c>
      <c r="C68" s="156">
        <f>C9</f>
        <v>1733000</v>
      </c>
      <c r="D68" s="156">
        <f>D9</f>
        <v>2006000</v>
      </c>
      <c r="E68" s="157">
        <f>E9</f>
        <v>1705436</v>
      </c>
      <c r="F68" s="158"/>
      <c r="G68" s="158"/>
      <c r="H68" s="158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</row>
    <row r="69" spans="1:20" ht="11.25">
      <c r="A69" s="160">
        <v>56</v>
      </c>
      <c r="B69" s="161" t="s">
        <v>187</v>
      </c>
      <c r="C69" s="156">
        <f>C11</f>
        <v>32783361</v>
      </c>
      <c r="D69" s="156">
        <f>D11</f>
        <v>35629630</v>
      </c>
      <c r="E69" s="157">
        <f>E11</f>
        <v>37662089</v>
      </c>
      <c r="F69" s="158"/>
      <c r="G69" s="158"/>
      <c r="H69" s="158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</row>
    <row r="70" spans="1:20" ht="21">
      <c r="A70" s="162">
        <v>57</v>
      </c>
      <c r="B70" s="163" t="s">
        <v>188</v>
      </c>
      <c r="C70" s="164">
        <f>(C67+C68-C69)/C6</f>
        <v>0.17033101663966174</v>
      </c>
      <c r="D70" s="164">
        <f>(D67+D68-D69)/D6</f>
        <v>0.1263351817637703</v>
      </c>
      <c r="E70" s="165">
        <f>(E67+E68-E69)/E6</f>
        <v>0.08896300470911786</v>
      </c>
      <c r="F70" s="166"/>
      <c r="G70" s="166"/>
      <c r="H70" s="166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1:20" ht="22.5">
      <c r="A71" s="168">
        <v>58</v>
      </c>
      <c r="B71" s="169" t="s">
        <v>189</v>
      </c>
      <c r="C71" s="158"/>
      <c r="D71" s="158"/>
      <c r="E71" s="158"/>
      <c r="F71" s="156">
        <f aca="true" t="shared" si="19" ref="F71:T71">F54+F55+F57</f>
        <v>1640507.4399047203</v>
      </c>
      <c r="G71" s="156">
        <f t="shared" si="19"/>
        <v>2330650.374489943</v>
      </c>
      <c r="H71" s="157">
        <f t="shared" si="19"/>
        <v>3108151.786800137</v>
      </c>
      <c r="I71" s="157">
        <f t="shared" si="19"/>
        <v>2989460.364059484</v>
      </c>
      <c r="J71" s="157">
        <f t="shared" si="19"/>
        <v>2870768.9413188314</v>
      </c>
      <c r="K71" s="157">
        <f t="shared" si="19"/>
        <v>2752077.518578179</v>
      </c>
      <c r="L71" s="157">
        <f t="shared" si="19"/>
        <v>2633386.0958375265</v>
      </c>
      <c r="M71" s="157">
        <f t="shared" si="19"/>
        <v>2514694.673096874</v>
      </c>
      <c r="N71" s="157">
        <f t="shared" si="19"/>
        <v>2396003.2503562216</v>
      </c>
      <c r="O71" s="157">
        <f t="shared" si="19"/>
        <v>2005773.5186434367</v>
      </c>
      <c r="P71" s="157">
        <f t="shared" si="19"/>
        <v>903102.8561321399</v>
      </c>
      <c r="Q71" s="157">
        <f t="shared" si="19"/>
        <v>857832.1936208432</v>
      </c>
      <c r="R71" s="157">
        <f t="shared" si="19"/>
        <v>812510.9871095465</v>
      </c>
      <c r="S71" s="157">
        <f t="shared" si="19"/>
        <v>0</v>
      </c>
      <c r="T71" s="157">
        <f t="shared" si="19"/>
        <v>0</v>
      </c>
    </row>
    <row r="72" spans="1:20" ht="22.5">
      <c r="A72" s="162">
        <v>59</v>
      </c>
      <c r="B72" s="163" t="s">
        <v>190</v>
      </c>
      <c r="C72" s="158"/>
      <c r="D72" s="158"/>
      <c r="E72" s="158"/>
      <c r="F72" s="164">
        <f aca="true" t="shared" si="20" ref="F72:T72">F71/F6</f>
        <v>0.03954064225485293</v>
      </c>
      <c r="G72" s="164">
        <f t="shared" si="20"/>
        <v>0.6988352122126934</v>
      </c>
      <c r="H72" s="165">
        <f t="shared" si="20"/>
        <v>0.7847328902847496</v>
      </c>
      <c r="I72" s="165">
        <f t="shared" si="20"/>
        <v>0.770395000766285</v>
      </c>
      <c r="J72" s="165">
        <f t="shared" si="20"/>
        <v>0.7864151906778823</v>
      </c>
      <c r="K72" s="165">
        <f t="shared" si="20"/>
        <v>0.7427596027895849</v>
      </c>
      <c r="L72" s="165">
        <f t="shared" si="20"/>
        <v>0.7002225756363656</v>
      </c>
      <c r="M72" s="165">
        <f t="shared" si="20"/>
        <v>0.5505992333438089</v>
      </c>
      <c r="N72" s="165">
        <f t="shared" si="20"/>
        <v>0.517696114314065</v>
      </c>
      <c r="O72" s="165">
        <f t="shared" si="20"/>
        <v>0.42697589091616467</v>
      </c>
      <c r="P72" s="165">
        <f t="shared" si="20"/>
        <v>0.18940552080582657</v>
      </c>
      <c r="Q72" s="165">
        <f t="shared" si="20"/>
        <v>0.1772522336005452</v>
      </c>
      <c r="R72" s="165">
        <f t="shared" si="20"/>
        <v>0.16540650142987617</v>
      </c>
      <c r="S72" s="165">
        <f t="shared" si="20"/>
        <v>0</v>
      </c>
      <c r="T72" s="165">
        <f t="shared" si="20"/>
        <v>0</v>
      </c>
    </row>
    <row r="73" spans="1:20" ht="11.25">
      <c r="A73" s="187" t="s">
        <v>191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</row>
    <row r="74" spans="1:20" ht="14.25">
      <c r="A74" s="188" t="s">
        <v>192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</sheetData>
  <sheetProtection/>
  <mergeCells count="8">
    <mergeCell ref="A73:T73"/>
    <mergeCell ref="A74:T74"/>
    <mergeCell ref="A2:T2"/>
    <mergeCell ref="C4:D4"/>
    <mergeCell ref="E4:T4"/>
    <mergeCell ref="A47:A50"/>
    <mergeCell ref="A59:A63"/>
    <mergeCell ref="A66:T66"/>
  </mergeCells>
  <printOptions horizontalCentered="1" verticalCentered="1"/>
  <pageMargins left="0.27569444444444446" right="0.11805555555555555" top="0.5902777777777778" bottom="0.5902777777777778" header="0.5118055555555555" footer="0.5118055555555555"/>
  <pageSetup horizontalDpi="300" verticalDpi="300" orientation="landscape" paperSize="9" scale="73" r:id="rId1"/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showGridLines="0" tabSelected="1" defaultGridColor="0" view="pageBreakPreview" zoomScale="80" zoomScaleSheetLayoutView="80" zoomScalePageLayoutView="0" colorId="15" workbookViewId="0" topLeftCell="A49">
      <selection activeCell="F8" sqref="F8"/>
    </sheetView>
  </sheetViews>
  <sheetFormatPr defaultColWidth="9.00390625" defaultRowHeight="12.75"/>
  <cols>
    <col min="1" max="1" width="3.875" style="118" customWidth="1"/>
    <col min="2" max="2" width="20.375" style="119" customWidth="1"/>
    <col min="3" max="3" width="9.375" style="120" customWidth="1"/>
    <col min="4" max="4" width="9.00390625" style="120" customWidth="1"/>
    <col min="5" max="5" width="9.375" style="120" customWidth="1"/>
    <col min="6" max="7" width="9.625" style="120" customWidth="1"/>
    <col min="8" max="9" width="9.00390625" style="120" customWidth="1"/>
    <col min="10" max="10" width="9.625" style="120" customWidth="1"/>
    <col min="11" max="11" width="9.25390625" style="120" customWidth="1"/>
    <col min="12" max="20" width="9.625" style="120" customWidth="1"/>
    <col min="21" max="21" width="13.00390625" style="120" customWidth="1"/>
    <col min="22" max="16384" width="9.125" style="120" customWidth="1"/>
  </cols>
  <sheetData>
    <row r="1" ht="21.75" customHeight="1">
      <c r="B1" s="121" t="s">
        <v>115</v>
      </c>
    </row>
    <row r="2" spans="1:20" s="118" customFormat="1" ht="28.5" customHeight="1">
      <c r="A2" s="193" t="s">
        <v>116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2:20" ht="11.25">
      <c r="B3" s="122"/>
      <c r="C3" s="122"/>
      <c r="E3" s="123"/>
      <c r="L3" s="123" t="s">
        <v>117</v>
      </c>
      <c r="M3" s="123"/>
      <c r="N3" s="123"/>
      <c r="O3" s="123"/>
      <c r="P3" s="123"/>
      <c r="Q3" s="123"/>
      <c r="R3" s="123"/>
      <c r="S3" s="123"/>
      <c r="T3" s="123"/>
    </row>
    <row r="4" spans="1:21" ht="10.5" customHeight="1">
      <c r="A4" s="124" t="s">
        <v>118</v>
      </c>
      <c r="B4" s="125" t="s">
        <v>119</v>
      </c>
      <c r="C4" s="190" t="s">
        <v>120</v>
      </c>
      <c r="D4" s="190"/>
      <c r="E4" s="190"/>
      <c r="F4" s="190" t="s">
        <v>121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27"/>
    </row>
    <row r="5" spans="1:20" ht="11.25">
      <c r="A5" s="128"/>
      <c r="B5" s="129"/>
      <c r="C5" s="126" t="s">
        <v>122</v>
      </c>
      <c r="D5" s="126" t="s">
        <v>123</v>
      </c>
      <c r="E5" s="126" t="s">
        <v>193</v>
      </c>
      <c r="F5" s="126" t="s">
        <v>100</v>
      </c>
      <c r="G5" s="126">
        <v>2011</v>
      </c>
      <c r="H5" s="126">
        <v>2012</v>
      </c>
      <c r="I5" s="126">
        <v>2013</v>
      </c>
      <c r="J5" s="126">
        <v>2014</v>
      </c>
      <c r="K5" s="126">
        <v>2015</v>
      </c>
      <c r="L5" s="126">
        <v>2016</v>
      </c>
      <c r="M5" s="126">
        <v>2017</v>
      </c>
      <c r="N5" s="126">
        <v>2018</v>
      </c>
      <c r="O5" s="126">
        <v>2019</v>
      </c>
      <c r="P5" s="126">
        <v>2020</v>
      </c>
      <c r="Q5" s="126">
        <v>2021</v>
      </c>
      <c r="R5" s="126">
        <v>2022</v>
      </c>
      <c r="S5" s="126">
        <v>2023</v>
      </c>
      <c r="T5" s="126">
        <v>2024</v>
      </c>
    </row>
    <row r="6" spans="1:20" ht="25.5">
      <c r="A6" s="130">
        <v>1</v>
      </c>
      <c r="B6" s="131" t="s">
        <v>124</v>
      </c>
      <c r="C6" s="132">
        <f aca="true" t="shared" si="0" ref="C6:T6">C7+C8</f>
        <v>39513784</v>
      </c>
      <c r="D6" s="132">
        <f t="shared" si="0"/>
        <v>40781807</v>
      </c>
      <c r="E6" s="133">
        <f t="shared" si="0"/>
        <v>30557334</v>
      </c>
      <c r="F6" s="133">
        <f t="shared" si="0"/>
        <v>44904895</v>
      </c>
      <c r="G6" s="133">
        <f t="shared" si="0"/>
        <v>44776315.075</v>
      </c>
      <c r="H6" s="133">
        <f t="shared" si="0"/>
        <v>47101133.693075</v>
      </c>
      <c r="I6" s="133">
        <f t="shared" si="0"/>
        <v>48962098.45101338</v>
      </c>
      <c r="J6" s="133">
        <f t="shared" si="0"/>
        <v>49859164.33283371</v>
      </c>
      <c r="K6" s="133">
        <f t="shared" si="0"/>
        <v>50607051.797826216</v>
      </c>
      <c r="L6" s="133">
        <f t="shared" si="0"/>
        <v>51616157.57479361</v>
      </c>
      <c r="M6" s="133">
        <f t="shared" si="0"/>
        <v>52886649.938415505</v>
      </c>
      <c r="N6" s="133">
        <f t="shared" si="0"/>
        <v>53672449.68749174</v>
      </c>
      <c r="O6" s="133">
        <f t="shared" si="0"/>
        <v>54537536.432804115</v>
      </c>
      <c r="P6" s="133">
        <f t="shared" si="0"/>
        <v>55294699.47929617</v>
      </c>
      <c r="Q6" s="133">
        <f t="shared" si="0"/>
        <v>56124119.971485615</v>
      </c>
      <c r="R6" s="133">
        <f t="shared" si="0"/>
        <v>56965981.7710579</v>
      </c>
      <c r="S6" s="133">
        <f t="shared" si="0"/>
        <v>57820471.49762377</v>
      </c>
      <c r="T6" s="133">
        <f t="shared" si="0"/>
        <v>58676471.08458931</v>
      </c>
    </row>
    <row r="7" spans="1:20" ht="11.25">
      <c r="A7" s="134">
        <v>2</v>
      </c>
      <c r="B7" s="135" t="s">
        <v>125</v>
      </c>
      <c r="C7" s="136">
        <f>37247802+515784+17198</f>
        <v>37780784</v>
      </c>
      <c r="D7" s="136">
        <f>35488119+3020981+266707</f>
        <v>38775807</v>
      </c>
      <c r="E7" s="136">
        <f>30557334-E8</f>
        <v>29823761</v>
      </c>
      <c r="F7" s="136">
        <f>'[1]zał 1'!$C$20</f>
        <v>41489145</v>
      </c>
      <c r="G7" s="136">
        <f>F7*0.035+F7</f>
        <v>42941265.075</v>
      </c>
      <c r="H7" s="136">
        <f>G7*0.041+G7</f>
        <v>44701856.943075</v>
      </c>
      <c r="I7" s="136">
        <f>H7*0.045+H7</f>
        <v>46713440.50551338</v>
      </c>
      <c r="J7" s="136">
        <f>I7*0.025+I7</f>
        <v>47881276.51815121</v>
      </c>
      <c r="K7" s="136">
        <f>J7*0.015+J7</f>
        <v>48599495.665923476</v>
      </c>
      <c r="L7" s="136">
        <f>K7*0.015+K7</f>
        <v>49328488.100912325</v>
      </c>
      <c r="M7" s="136">
        <f>L7*0.015+L7+250000</f>
        <v>50318415.42242601</v>
      </c>
      <c r="N7" s="136">
        <f>M7*0.015+M7+500000</f>
        <v>51573191.6537624</v>
      </c>
      <c r="O7" s="136">
        <f aca="true" t="shared" si="1" ref="O7:T7">N7*0.015+N7</f>
        <v>52346789.528568834</v>
      </c>
      <c r="P7" s="136">
        <f t="shared" si="1"/>
        <v>53131991.37149736</v>
      </c>
      <c r="Q7" s="136">
        <f t="shared" si="1"/>
        <v>53928971.242069826</v>
      </c>
      <c r="R7" s="136">
        <f t="shared" si="1"/>
        <v>54737905.81070087</v>
      </c>
      <c r="S7" s="136">
        <f t="shared" si="1"/>
        <v>55558974.397861384</v>
      </c>
      <c r="T7" s="136">
        <f t="shared" si="1"/>
        <v>56392359.013829306</v>
      </c>
    </row>
    <row r="8" spans="1:20" ht="11.25">
      <c r="A8" s="134">
        <v>3</v>
      </c>
      <c r="B8" s="135" t="s">
        <v>126</v>
      </c>
      <c r="C8" s="137">
        <f>C9</f>
        <v>1733000</v>
      </c>
      <c r="D8" s="136">
        <f>D9</f>
        <v>2006000</v>
      </c>
      <c r="E8" s="136">
        <f>E9+55646</f>
        <v>733573</v>
      </c>
      <c r="F8" s="136">
        <f>'[1]zał 1'!$C$21</f>
        <v>3415750</v>
      </c>
      <c r="G8" s="137">
        <f>G9</f>
        <v>1835050</v>
      </c>
      <c r="H8" s="137">
        <f>H9+500000</f>
        <v>2399276.75</v>
      </c>
      <c r="I8" s="137">
        <f>I9+300000</f>
        <v>2248657.9455</v>
      </c>
      <c r="J8" s="137">
        <f>J9</f>
        <v>1977887.8146825</v>
      </c>
      <c r="K8" s="137">
        <f>K9</f>
        <v>2007556.1319027375</v>
      </c>
      <c r="L8" s="137">
        <f>L9+250000</f>
        <v>2287669.4738812787</v>
      </c>
      <c r="M8" s="137">
        <f>M9+500000</f>
        <v>2568234.515989498</v>
      </c>
      <c r="N8" s="137">
        <f>N9</f>
        <v>2099258.0337293404</v>
      </c>
      <c r="O8" s="137">
        <f>O9+60000</f>
        <v>2190746.9042352806</v>
      </c>
      <c r="P8" s="137">
        <f>P9</f>
        <v>2162708.1077988097</v>
      </c>
      <c r="Q8" s="137">
        <f>Q9</f>
        <v>2195148.7294157916</v>
      </c>
      <c r="R8" s="137">
        <f>R9</f>
        <v>2228075.9603570285</v>
      </c>
      <c r="S8" s="137">
        <f>S9</f>
        <v>2261497.099762384</v>
      </c>
      <c r="T8" s="137">
        <f>T9</f>
        <v>2284112.0707600075</v>
      </c>
    </row>
    <row r="9" spans="1:20" ht="22.5">
      <c r="A9" s="134">
        <v>4</v>
      </c>
      <c r="B9" s="135" t="s">
        <v>127</v>
      </c>
      <c r="C9" s="137">
        <v>1733000</v>
      </c>
      <c r="D9" s="136">
        <f>356000+50000+1600000</f>
        <v>2006000</v>
      </c>
      <c r="E9" s="136">
        <f>394334+283593</f>
        <v>677927</v>
      </c>
      <c r="F9" s="136">
        <f>'[1]zał 2'!G19</f>
        <v>1715000</v>
      </c>
      <c r="G9" s="136">
        <f>F9*0.07+F9</f>
        <v>1835050</v>
      </c>
      <c r="H9" s="136">
        <f>G9*0.035+G9</f>
        <v>1899276.75</v>
      </c>
      <c r="I9" s="137">
        <f>H9*0.026+H9</f>
        <v>1948657.9455</v>
      </c>
      <c r="J9" s="137">
        <f aca="true" t="shared" si="2" ref="J9:S9">I9*0.015+I9</f>
        <v>1977887.8146825</v>
      </c>
      <c r="K9" s="137">
        <f t="shared" si="2"/>
        <v>2007556.1319027375</v>
      </c>
      <c r="L9" s="137">
        <f t="shared" si="2"/>
        <v>2037669.4738812787</v>
      </c>
      <c r="M9" s="137">
        <f t="shared" si="2"/>
        <v>2068234.5159894978</v>
      </c>
      <c r="N9" s="137">
        <f t="shared" si="2"/>
        <v>2099258.0337293404</v>
      </c>
      <c r="O9" s="137">
        <f t="shared" si="2"/>
        <v>2130746.9042352806</v>
      </c>
      <c r="P9" s="137">
        <f t="shared" si="2"/>
        <v>2162708.1077988097</v>
      </c>
      <c r="Q9" s="137">
        <f t="shared" si="2"/>
        <v>2195148.7294157916</v>
      </c>
      <c r="R9" s="137">
        <f t="shared" si="2"/>
        <v>2228075.9603570285</v>
      </c>
      <c r="S9" s="137">
        <f t="shared" si="2"/>
        <v>2261497.099762384</v>
      </c>
      <c r="T9" s="137">
        <f>S9*0.01+S9</f>
        <v>2284112.0707600075</v>
      </c>
    </row>
    <row r="10" spans="1:20" ht="12.75">
      <c r="A10" s="138">
        <v>5</v>
      </c>
      <c r="B10" s="131" t="s">
        <v>128</v>
      </c>
      <c r="C10" s="132">
        <f aca="true" t="shared" si="3" ref="C10:T10">C11+C12</f>
        <v>36475335</v>
      </c>
      <c r="D10" s="132">
        <f t="shared" si="3"/>
        <v>40722987</v>
      </c>
      <c r="E10" s="132">
        <f t="shared" si="3"/>
        <v>33429396</v>
      </c>
      <c r="F10" s="133">
        <f t="shared" si="3"/>
        <v>56609295.535179</v>
      </c>
      <c r="G10" s="133">
        <f t="shared" si="3"/>
        <v>45435742.57320668</v>
      </c>
      <c r="H10" s="133">
        <f t="shared" si="3"/>
        <v>44672585.9395244</v>
      </c>
      <c r="I10" s="133">
        <f t="shared" si="3"/>
        <v>46367418.34583108</v>
      </c>
      <c r="J10" s="133">
        <f t="shared" si="3"/>
        <v>47343440.896206014</v>
      </c>
      <c r="K10" s="133">
        <f t="shared" si="3"/>
        <v>49896742.83233772</v>
      </c>
      <c r="L10" s="133">
        <f t="shared" si="3"/>
        <v>49639864.66031383</v>
      </c>
      <c r="M10" s="133">
        <f t="shared" si="3"/>
        <v>50792111.27682167</v>
      </c>
      <c r="N10" s="133">
        <f t="shared" si="3"/>
        <v>51342789.05874222</v>
      </c>
      <c r="O10" s="133">
        <f t="shared" si="3"/>
        <v>52449802.05085832</v>
      </c>
      <c r="P10" s="133">
        <f t="shared" si="3"/>
        <v>53236098.48777377</v>
      </c>
      <c r="Q10" s="133">
        <f t="shared" si="3"/>
        <v>55132476.55601702</v>
      </c>
      <c r="R10" s="133">
        <f t="shared" si="3"/>
        <v>56963661.13402533</v>
      </c>
      <c r="S10" s="133">
        <f t="shared" si="3"/>
        <v>57909189.00124194</v>
      </c>
      <c r="T10" s="133">
        <f t="shared" si="3"/>
        <v>58056418.726272985</v>
      </c>
    </row>
    <row r="11" spans="1:20" ht="11.25">
      <c r="A11" s="134">
        <v>6</v>
      </c>
      <c r="B11" s="135" t="s">
        <v>129</v>
      </c>
      <c r="C11" s="137">
        <v>32783361</v>
      </c>
      <c r="D11" s="136">
        <v>35629630</v>
      </c>
      <c r="E11" s="136">
        <v>27413409</v>
      </c>
      <c r="F11" s="136">
        <f>'[1]zał 6'!C26</f>
        <v>41316002.535179</v>
      </c>
      <c r="G11" s="136">
        <f>F11*0.015+F11</f>
        <v>41935742.57320668</v>
      </c>
      <c r="H11" s="137">
        <f>G11*0.018+G11-18000</f>
        <v>42672585.9395244</v>
      </c>
      <c r="I11" s="137">
        <f>H11*0.028+H11</f>
        <v>43867418.34583108</v>
      </c>
      <c r="J11" s="137">
        <f>I11*0.03+I11</f>
        <v>45183440.896206014</v>
      </c>
      <c r="K11" s="137">
        <f>J11*0.018+J11+800000</f>
        <v>46796742.83233772</v>
      </c>
      <c r="L11" s="137">
        <f>K11*0.024+K11-320000-110000</f>
        <v>47489864.66031383</v>
      </c>
      <c r="M11" s="137">
        <f>L11*0.025+L11-50000</f>
        <v>48627111.27682167</v>
      </c>
      <c r="N11" s="137">
        <f>M11*0.025+M11</f>
        <v>49842789.05874222</v>
      </c>
      <c r="O11" s="137">
        <f>N11*0.019+N11-440000</f>
        <v>50349802.05085832</v>
      </c>
      <c r="P11" s="137">
        <f>O11*0.018+O11</f>
        <v>51256098.48777377</v>
      </c>
      <c r="Q11" s="137">
        <f>P11*0.021+P11-600000</f>
        <v>51732476.55601702</v>
      </c>
      <c r="R11" s="137">
        <f>Q11*0.018+Q11+900000</f>
        <v>53563661.13402533</v>
      </c>
      <c r="S11" s="137">
        <f>R11*0.024+R11</f>
        <v>54849189.00124194</v>
      </c>
      <c r="T11" s="137">
        <f>S11*0.025+S11</f>
        <v>56220418.726272985</v>
      </c>
    </row>
    <row r="12" spans="1:20" ht="11.25">
      <c r="A12" s="134">
        <v>7</v>
      </c>
      <c r="B12" s="135" t="s">
        <v>130</v>
      </c>
      <c r="C12" s="137">
        <v>3691974</v>
      </c>
      <c r="D12" s="136">
        <v>5093357</v>
      </c>
      <c r="E12" s="136">
        <f>6015987</f>
        <v>6015987</v>
      </c>
      <c r="F12" s="136">
        <f>'[1]zał 6'!C27</f>
        <v>15293293</v>
      </c>
      <c r="G12" s="136">
        <v>3500000</v>
      </c>
      <c r="H12" s="136">
        <v>2000000</v>
      </c>
      <c r="I12" s="136">
        <v>2500000</v>
      </c>
      <c r="J12" s="137">
        <v>2160000</v>
      </c>
      <c r="K12" s="137">
        <f>2100000+1000000</f>
        <v>3100000</v>
      </c>
      <c r="L12" s="137">
        <v>2150000</v>
      </c>
      <c r="M12" s="137">
        <f>L12*1.1-200000</f>
        <v>2165000</v>
      </c>
      <c r="N12" s="137">
        <v>1500000</v>
      </c>
      <c r="O12" s="137">
        <v>2100000</v>
      </c>
      <c r="P12" s="137">
        <v>1980000</v>
      </c>
      <c r="Q12" s="137">
        <v>3400000</v>
      </c>
      <c r="R12" s="137">
        <f>Q12*1</f>
        <v>3400000</v>
      </c>
      <c r="S12" s="137">
        <f>R12*0.9</f>
        <v>3060000</v>
      </c>
      <c r="T12" s="137">
        <f>S12*0.6</f>
        <v>1836000.0000000002</v>
      </c>
    </row>
    <row r="13" spans="1:20" ht="21">
      <c r="A13" s="134">
        <v>8</v>
      </c>
      <c r="B13" s="139" t="s">
        <v>131</v>
      </c>
      <c r="C13" s="140">
        <f aca="true" t="shared" si="4" ref="C13:T13">C6-C10</f>
        <v>3038449</v>
      </c>
      <c r="D13" s="140">
        <f t="shared" si="4"/>
        <v>58820</v>
      </c>
      <c r="E13" s="141">
        <f t="shared" si="4"/>
        <v>-2872062</v>
      </c>
      <c r="F13" s="141">
        <f t="shared" si="4"/>
        <v>-11704400.535178997</v>
      </c>
      <c r="G13" s="141">
        <f t="shared" si="4"/>
        <v>-659427.498206675</v>
      </c>
      <c r="H13" s="141">
        <f t="shared" si="4"/>
        <v>2428547.753550604</v>
      </c>
      <c r="I13" s="141">
        <f t="shared" si="4"/>
        <v>2594680.1051822975</v>
      </c>
      <c r="J13" s="141">
        <f t="shared" si="4"/>
        <v>2515723.4366276935</v>
      </c>
      <c r="K13" s="141">
        <f t="shared" si="4"/>
        <v>710308.9654884934</v>
      </c>
      <c r="L13" s="141">
        <f t="shared" si="4"/>
        <v>1976292.9144797772</v>
      </c>
      <c r="M13" s="141">
        <f t="shared" si="4"/>
        <v>2094538.661593832</v>
      </c>
      <c r="N13" s="141">
        <f t="shared" si="4"/>
        <v>2329660.6287495196</v>
      </c>
      <c r="O13" s="141">
        <f t="shared" si="4"/>
        <v>2087734.3819457963</v>
      </c>
      <c r="P13" s="141">
        <f t="shared" si="4"/>
        <v>2058600.9915224016</v>
      </c>
      <c r="Q13" s="141">
        <f t="shared" si="4"/>
        <v>991643.4154685959</v>
      </c>
      <c r="R13" s="141">
        <f t="shared" si="4"/>
        <v>2320.6370325684547</v>
      </c>
      <c r="S13" s="141">
        <f t="shared" si="4"/>
        <v>-88717.50361816585</v>
      </c>
      <c r="T13" s="141">
        <f t="shared" si="4"/>
        <v>620052.3583163247</v>
      </c>
    </row>
    <row r="14" spans="1:20" ht="21">
      <c r="A14" s="134">
        <v>9</v>
      </c>
      <c r="B14" s="139" t="s">
        <v>132</v>
      </c>
      <c r="C14" s="141">
        <f>C15-C28</f>
        <v>-2507196</v>
      </c>
      <c r="D14" s="141">
        <f>D15-D28</f>
        <v>-231406.56000000006</v>
      </c>
      <c r="E14" s="141">
        <f>E15-E28</f>
        <v>6273217</v>
      </c>
      <c r="F14" s="141">
        <f>F15-F28-1</f>
        <v>11704400.535178997</v>
      </c>
      <c r="G14" s="141">
        <f aca="true" t="shared" si="5" ref="G14:T14">G15-G28</f>
        <v>659427.498206675</v>
      </c>
      <c r="H14" s="141">
        <f t="shared" si="5"/>
        <v>-2038837.6735703817</v>
      </c>
      <c r="I14" s="141">
        <f t="shared" si="5"/>
        <v>-1649127.5935901594</v>
      </c>
      <c r="J14" s="141">
        <f t="shared" si="5"/>
        <v>-1093285.1619782436</v>
      </c>
      <c r="K14" s="141">
        <f t="shared" si="5"/>
        <v>-616399.3989209319</v>
      </c>
      <c r="L14" s="141">
        <f t="shared" si="5"/>
        <v>-1944928.1070028201</v>
      </c>
      <c r="M14" s="141">
        <f t="shared" si="5"/>
        <v>-2007472.8660934246</v>
      </c>
      <c r="N14" s="141">
        <f t="shared" si="5"/>
        <v>-1951771.8780699742</v>
      </c>
      <c r="O14" s="141">
        <f t="shared" si="5"/>
        <v>-1389410.6139187042</v>
      </c>
      <c r="P14" s="141">
        <f t="shared" si="5"/>
        <v>-68975.59657115757</v>
      </c>
      <c r="Q14" s="141">
        <f t="shared" si="5"/>
        <v>1222326.0303529943</v>
      </c>
      <c r="R14" s="141">
        <f t="shared" si="5"/>
        <v>1446814.0812233407</v>
      </c>
      <c r="S14" s="141">
        <f t="shared" si="5"/>
        <v>1449134.7182559092</v>
      </c>
      <c r="T14" s="141">
        <f t="shared" si="5"/>
        <v>1360417.2146377433</v>
      </c>
    </row>
    <row r="15" spans="1:20" ht="21.75" customHeight="1">
      <c r="A15" s="138">
        <v>10</v>
      </c>
      <c r="B15" s="131" t="s">
        <v>133</v>
      </c>
      <c r="C15" s="142">
        <f aca="true" t="shared" si="6" ref="C15:T15">C16+C18+C20+C21+C23+C25+C26</f>
        <v>399491</v>
      </c>
      <c r="D15" s="142">
        <f t="shared" si="6"/>
        <v>1295280</v>
      </c>
      <c r="E15" s="143">
        <f t="shared" si="6"/>
        <v>8023784</v>
      </c>
      <c r="F15" s="143">
        <f t="shared" si="6"/>
        <v>12612515.375178996</v>
      </c>
      <c r="G15" s="143">
        <f t="shared" si="6"/>
        <v>1904536.1628049249</v>
      </c>
      <c r="H15" s="143">
        <f t="shared" si="6"/>
        <v>0</v>
      </c>
      <c r="I15" s="143">
        <f t="shared" si="6"/>
        <v>389710.0799802223</v>
      </c>
      <c r="J15" s="143">
        <f t="shared" si="6"/>
        <v>945552.5115921381</v>
      </c>
      <c r="K15" s="143">
        <f t="shared" si="6"/>
        <v>1422438.2746494499</v>
      </c>
      <c r="L15" s="143">
        <f t="shared" si="6"/>
        <v>93909.56656756159</v>
      </c>
      <c r="M15" s="143">
        <f t="shared" si="6"/>
        <v>31364.807476957096</v>
      </c>
      <c r="N15" s="143">
        <f t="shared" si="6"/>
        <v>87065.79550040746</v>
      </c>
      <c r="O15" s="143">
        <f t="shared" si="6"/>
        <v>377888.75067954534</v>
      </c>
      <c r="P15" s="143">
        <f t="shared" si="6"/>
        <v>698323.7680270921</v>
      </c>
      <c r="Q15" s="143">
        <f t="shared" si="6"/>
        <v>1989625.394951244</v>
      </c>
      <c r="R15" s="143">
        <f t="shared" si="6"/>
        <v>2213969.4458215903</v>
      </c>
      <c r="S15" s="143">
        <f t="shared" si="6"/>
        <v>1449134.7182559092</v>
      </c>
      <c r="T15" s="143">
        <f t="shared" si="6"/>
        <v>1360417.2146377433</v>
      </c>
    </row>
    <row r="16" spans="1:20" ht="20.25" customHeight="1">
      <c r="A16" s="134">
        <v>11</v>
      </c>
      <c r="B16" s="139" t="s">
        <v>134</v>
      </c>
      <c r="C16" s="137"/>
      <c r="D16" s="136">
        <v>749491</v>
      </c>
      <c r="E16" s="136">
        <v>20016</v>
      </c>
      <c r="F16" s="136">
        <f>-F13+F29-F20-F21-F23+1</f>
        <v>9207592.375178996</v>
      </c>
      <c r="G16" s="136">
        <f>-G13+G29-G20-G21-G23</f>
        <v>1900768.1628049249</v>
      </c>
      <c r="H16" s="136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1:20" ht="56.25">
      <c r="A17" s="134">
        <v>12</v>
      </c>
      <c r="B17" s="135" t="s">
        <v>135</v>
      </c>
      <c r="C17" s="137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ht="20.25" customHeight="1">
      <c r="A18" s="134">
        <v>13</v>
      </c>
      <c r="B18" s="139" t="s">
        <v>136</v>
      </c>
      <c r="C18" s="137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ht="56.25">
      <c r="A19" s="134">
        <v>14</v>
      </c>
      <c r="B19" s="135" t="s">
        <v>137</v>
      </c>
      <c r="C19" s="137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21">
      <c r="A20" s="134">
        <v>15</v>
      </c>
      <c r="B20" s="139" t="s">
        <v>138</v>
      </c>
      <c r="C20" s="137"/>
      <c r="D20" s="137">
        <v>14536</v>
      </c>
      <c r="E20" s="137">
        <v>3768</v>
      </c>
      <c r="F20" s="137">
        <v>3768</v>
      </c>
      <c r="G20" s="137">
        <v>3768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30" customHeight="1">
      <c r="A21" s="134">
        <v>16</v>
      </c>
      <c r="B21" s="139" t="s">
        <v>139</v>
      </c>
      <c r="C21" s="137">
        <v>399491</v>
      </c>
      <c r="D21" s="136">
        <f>C13+C14</f>
        <v>531253</v>
      </c>
      <c r="E21" s="136"/>
      <c r="F21" s="137">
        <f aca="true" t="shared" si="7" ref="F21:T21">E13+E14</f>
        <v>3401155</v>
      </c>
      <c r="G21" s="137">
        <f t="shared" si="7"/>
        <v>0</v>
      </c>
      <c r="H21" s="137">
        <f t="shared" si="7"/>
        <v>0</v>
      </c>
      <c r="I21" s="137">
        <f t="shared" si="7"/>
        <v>389710.0799802223</v>
      </c>
      <c r="J21" s="137">
        <f t="shared" si="7"/>
        <v>945552.5115921381</v>
      </c>
      <c r="K21" s="137">
        <f t="shared" si="7"/>
        <v>1422438.2746494499</v>
      </c>
      <c r="L21" s="137">
        <f t="shared" si="7"/>
        <v>93909.56656756159</v>
      </c>
      <c r="M21" s="137">
        <f t="shared" si="7"/>
        <v>31364.807476957096</v>
      </c>
      <c r="N21" s="137">
        <f t="shared" si="7"/>
        <v>87065.79550040746</v>
      </c>
      <c r="O21" s="137">
        <f t="shared" si="7"/>
        <v>377888.75067954534</v>
      </c>
      <c r="P21" s="137">
        <f t="shared" si="7"/>
        <v>698323.7680270921</v>
      </c>
      <c r="Q21" s="137">
        <f t="shared" si="7"/>
        <v>1989625.394951244</v>
      </c>
      <c r="R21" s="137">
        <f t="shared" si="7"/>
        <v>2213969.4458215903</v>
      </c>
      <c r="S21" s="137">
        <f t="shared" si="7"/>
        <v>1449134.7182559092</v>
      </c>
      <c r="T21" s="137">
        <f t="shared" si="7"/>
        <v>1360417.2146377433</v>
      </c>
    </row>
    <row r="22" spans="1:20" ht="22.5">
      <c r="A22" s="134">
        <v>17</v>
      </c>
      <c r="B22" s="135" t="s">
        <v>140</v>
      </c>
      <c r="C22" s="137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ht="50.25" customHeight="1">
      <c r="A23" s="134">
        <v>18</v>
      </c>
      <c r="B23" s="139" t="s">
        <v>141</v>
      </c>
      <c r="C23" s="137"/>
      <c r="D23" s="136"/>
      <c r="E23" s="136">
        <v>8000000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ht="56.25">
      <c r="A24" s="134">
        <v>19</v>
      </c>
      <c r="B24" s="135" t="s">
        <v>142</v>
      </c>
      <c r="C24" s="137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ht="21">
      <c r="A25" s="134">
        <v>20</v>
      </c>
      <c r="B25" s="139" t="s">
        <v>143</v>
      </c>
      <c r="C25" s="137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20.25" customHeight="1">
      <c r="A26" s="134">
        <v>21</v>
      </c>
      <c r="B26" s="139" t="s">
        <v>144</v>
      </c>
      <c r="C26" s="137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22.5">
      <c r="A27" s="134">
        <v>22</v>
      </c>
      <c r="B27" s="135" t="s">
        <v>145</v>
      </c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23.25" customHeight="1">
      <c r="A28" s="138">
        <v>23</v>
      </c>
      <c r="B28" s="131" t="s">
        <v>146</v>
      </c>
      <c r="C28" s="142">
        <f aca="true" t="shared" si="8" ref="C28:T28">C29+C31+C33+C34+C35+C37</f>
        <v>2906687</v>
      </c>
      <c r="D28" s="142">
        <f t="shared" si="8"/>
        <v>1526686.56</v>
      </c>
      <c r="E28" s="142">
        <f t="shared" si="8"/>
        <v>1750567</v>
      </c>
      <c r="F28" s="142">
        <f t="shared" si="8"/>
        <v>908113.84</v>
      </c>
      <c r="G28" s="142">
        <f t="shared" si="8"/>
        <v>1245108.6645982498</v>
      </c>
      <c r="H28" s="142">
        <f t="shared" si="8"/>
        <v>2038837.6735703817</v>
      </c>
      <c r="I28" s="142">
        <f t="shared" si="8"/>
        <v>2038837.6735703817</v>
      </c>
      <c r="J28" s="142">
        <f t="shared" si="8"/>
        <v>2038837.6735703817</v>
      </c>
      <c r="K28" s="142">
        <f t="shared" si="8"/>
        <v>2038837.6735703817</v>
      </c>
      <c r="L28" s="142">
        <f t="shared" si="8"/>
        <v>2038837.6735703817</v>
      </c>
      <c r="M28" s="142">
        <f t="shared" si="8"/>
        <v>2038837.6735703817</v>
      </c>
      <c r="N28" s="142">
        <f t="shared" si="8"/>
        <v>2038837.6735703817</v>
      </c>
      <c r="O28" s="142">
        <f t="shared" si="8"/>
        <v>1767299.3645982496</v>
      </c>
      <c r="P28" s="142">
        <f t="shared" si="8"/>
        <v>767299.3645982497</v>
      </c>
      <c r="Q28" s="142">
        <f t="shared" si="8"/>
        <v>767299.3645982497</v>
      </c>
      <c r="R28" s="142">
        <f t="shared" si="8"/>
        <v>767155.3645982497</v>
      </c>
      <c r="S28" s="142">
        <f t="shared" si="8"/>
        <v>0</v>
      </c>
      <c r="T28" s="142">
        <f t="shared" si="8"/>
        <v>0</v>
      </c>
    </row>
    <row r="29" spans="1:20" ht="20.25" customHeight="1">
      <c r="A29" s="134">
        <v>24</v>
      </c>
      <c r="B29" s="139" t="s">
        <v>147</v>
      </c>
      <c r="C29" s="137">
        <v>1776687</v>
      </c>
      <c r="D29" s="137">
        <f>(12*55223.88)+(4*120000)+(4*96000)</f>
        <v>1526686.56</v>
      </c>
      <c r="E29" s="137">
        <f>kredyty_2!C3</f>
        <v>1750567</v>
      </c>
      <c r="F29" s="137">
        <f>kredyty_2!D3</f>
        <v>908113.84</v>
      </c>
      <c r="G29" s="137">
        <f>kredyty_2!E3</f>
        <v>1245108.6645982498</v>
      </c>
      <c r="H29" s="137">
        <f>kredyty_2!F3</f>
        <v>1038837.6735703817</v>
      </c>
      <c r="I29" s="137">
        <f>kredyty_2!G3</f>
        <v>1038837.6735703817</v>
      </c>
      <c r="J29" s="137">
        <f>kredyty_2!H3</f>
        <v>1038837.6735703817</v>
      </c>
      <c r="K29" s="137">
        <f>kredyty_2!I3</f>
        <v>1038837.6735703817</v>
      </c>
      <c r="L29" s="137">
        <f>kredyty_2!J3</f>
        <v>1038837.6735703817</v>
      </c>
      <c r="M29" s="137">
        <f>kredyty_2!K3</f>
        <v>1038837.6735703817</v>
      </c>
      <c r="N29" s="137">
        <f>kredyty_2!L3</f>
        <v>1038837.6735703817</v>
      </c>
      <c r="O29" s="137">
        <f>kredyty_2!M3</f>
        <v>767299.3645982497</v>
      </c>
      <c r="P29" s="137">
        <f>kredyty_2!N3</f>
        <v>767299.3645982497</v>
      </c>
      <c r="Q29" s="137">
        <f>kredyty_2!O3</f>
        <v>767299.3645982497</v>
      </c>
      <c r="R29" s="137">
        <f>kredyty_2!P3</f>
        <v>767155.3645982497</v>
      </c>
      <c r="S29" s="137">
        <f>kredyty_2!Q3</f>
        <v>0</v>
      </c>
      <c r="T29" s="137">
        <f>kredyty_2!R3</f>
        <v>0</v>
      </c>
    </row>
    <row r="30" spans="1:20" ht="56.25">
      <c r="A30" s="134">
        <v>25</v>
      </c>
      <c r="B30" s="135" t="s">
        <v>148</v>
      </c>
      <c r="C30" s="137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ht="20.25" customHeight="1">
      <c r="A31" s="134">
        <v>26</v>
      </c>
      <c r="B31" s="139" t="s">
        <v>149</v>
      </c>
      <c r="C31" s="137">
        <v>123000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ht="56.25">
      <c r="A32" s="134">
        <v>27</v>
      </c>
      <c r="B32" s="135" t="s">
        <v>150</v>
      </c>
      <c r="C32" s="137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0" ht="21">
      <c r="A33" s="134">
        <v>28</v>
      </c>
      <c r="B33" s="139" t="s">
        <v>151</v>
      </c>
      <c r="C33" s="137">
        <v>7000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ht="11.25">
      <c r="A34" s="134">
        <v>29</v>
      </c>
      <c r="B34" s="139" t="s">
        <v>152</v>
      </c>
      <c r="C34" s="137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ht="30" customHeight="1">
      <c r="A35" s="134">
        <v>30</v>
      </c>
      <c r="B35" s="139" t="s">
        <v>153</v>
      </c>
      <c r="C35" s="137">
        <v>1000000</v>
      </c>
      <c r="D35" s="136"/>
      <c r="E35" s="136"/>
      <c r="F35" s="136"/>
      <c r="G35" s="136"/>
      <c r="H35" s="144">
        <v>1000000</v>
      </c>
      <c r="I35" s="144">
        <v>1000000</v>
      </c>
      <c r="J35" s="144">
        <v>1000000</v>
      </c>
      <c r="K35" s="144">
        <v>1000000</v>
      </c>
      <c r="L35" s="144">
        <v>1000000</v>
      </c>
      <c r="M35" s="144">
        <v>1000000</v>
      </c>
      <c r="N35" s="144">
        <v>1000000</v>
      </c>
      <c r="O35" s="144">
        <v>1000000</v>
      </c>
      <c r="P35" s="144"/>
      <c r="Q35" s="144"/>
      <c r="R35" s="144"/>
      <c r="S35" s="144"/>
      <c r="T35" s="144"/>
    </row>
    <row r="36" spans="1:20" ht="56.25">
      <c r="A36" s="134">
        <v>31</v>
      </c>
      <c r="B36" s="135" t="s">
        <v>154</v>
      </c>
      <c r="C36" s="137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ht="11.25">
      <c r="A37" s="134">
        <v>32</v>
      </c>
      <c r="B37" s="139" t="s">
        <v>155</v>
      </c>
      <c r="C37" s="137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ht="11.25">
      <c r="A38" s="134">
        <v>33</v>
      </c>
      <c r="B38" s="139" t="s">
        <v>156</v>
      </c>
      <c r="C38" s="136">
        <v>100000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ht="32.25" customHeight="1">
      <c r="A39" s="138">
        <v>34</v>
      </c>
      <c r="B39" s="131" t="s">
        <v>157</v>
      </c>
      <c r="C39" s="132">
        <f aca="true" t="shared" si="9" ref="C39:T39">C40+C41+C42+C43+C44+C47</f>
        <v>3893902</v>
      </c>
      <c r="D39" s="132">
        <f t="shared" si="9"/>
        <v>3116330.44</v>
      </c>
      <c r="E39" s="133">
        <f t="shared" si="9"/>
        <v>9385779.44</v>
      </c>
      <c r="F39" s="133">
        <f t="shared" si="9"/>
        <v>17685257.975178994</v>
      </c>
      <c r="G39" s="133">
        <f t="shared" si="9"/>
        <v>18340917.473385673</v>
      </c>
      <c r="H39" s="133">
        <f t="shared" si="9"/>
        <v>16302079.799815292</v>
      </c>
      <c r="I39" s="133">
        <f t="shared" si="9"/>
        <v>14263242.12624491</v>
      </c>
      <c r="J39" s="133">
        <f t="shared" si="9"/>
        <v>12224404.452674529</v>
      </c>
      <c r="K39" s="133">
        <f t="shared" si="9"/>
        <v>10185566.779104147</v>
      </c>
      <c r="L39" s="133">
        <f t="shared" si="9"/>
        <v>8146729.105533766</v>
      </c>
      <c r="M39" s="133">
        <f t="shared" si="9"/>
        <v>6107891.431963384</v>
      </c>
      <c r="N39" s="133">
        <f t="shared" si="9"/>
        <v>4069053.7583930027</v>
      </c>
      <c r="O39" s="133">
        <f t="shared" si="9"/>
        <v>2301754.393794753</v>
      </c>
      <c r="P39" s="133">
        <f t="shared" si="9"/>
        <v>1534455.0291965036</v>
      </c>
      <c r="Q39" s="133">
        <f t="shared" si="9"/>
        <v>767155.6645982539</v>
      </c>
      <c r="R39" s="133">
        <f t="shared" si="9"/>
        <v>0</v>
      </c>
      <c r="S39" s="133">
        <f t="shared" si="9"/>
        <v>0</v>
      </c>
      <c r="T39" s="133">
        <f t="shared" si="9"/>
        <v>0</v>
      </c>
    </row>
    <row r="40" spans="1:20" ht="21">
      <c r="A40" s="134">
        <v>35</v>
      </c>
      <c r="B40" s="139" t="s">
        <v>158</v>
      </c>
      <c r="C40" s="136"/>
      <c r="D40" s="136"/>
      <c r="E40" s="136">
        <v>8000000</v>
      </c>
      <c r="F40" s="136">
        <v>8000000</v>
      </c>
      <c r="G40" s="136">
        <v>8000000</v>
      </c>
      <c r="H40" s="136">
        <v>7000000</v>
      </c>
      <c r="I40" s="136">
        <v>6000000</v>
      </c>
      <c r="J40" s="136">
        <v>5000000</v>
      </c>
      <c r="K40" s="136">
        <v>4000000</v>
      </c>
      <c r="L40" s="136">
        <v>3000000</v>
      </c>
      <c r="M40" s="136">
        <v>2000000</v>
      </c>
      <c r="N40" s="136">
        <v>1000000</v>
      </c>
      <c r="O40" s="136"/>
      <c r="P40" s="136"/>
      <c r="Q40" s="136"/>
      <c r="R40" s="136"/>
      <c r="S40" s="136"/>
      <c r="T40" s="136"/>
    </row>
    <row r="41" spans="1:20" ht="11.25">
      <c r="A41" s="134">
        <v>36</v>
      </c>
      <c r="B41" s="139" t="s">
        <v>159</v>
      </c>
      <c r="C41" s="136">
        <v>3893525</v>
      </c>
      <c r="D41" s="136">
        <f>C41+D16-D29+1</f>
        <v>3116330.44</v>
      </c>
      <c r="E41" s="136">
        <f aca="true" t="shared" si="10" ref="E41:Q41">D41+E16-E29</f>
        <v>1385779.44</v>
      </c>
      <c r="F41" s="136">
        <f t="shared" si="10"/>
        <v>9685257.975178996</v>
      </c>
      <c r="G41" s="136">
        <f t="shared" si="10"/>
        <v>10340917.473385673</v>
      </c>
      <c r="H41" s="136">
        <f t="shared" si="10"/>
        <v>9302079.799815292</v>
      </c>
      <c r="I41" s="136">
        <f t="shared" si="10"/>
        <v>8263242.12624491</v>
      </c>
      <c r="J41" s="137">
        <f t="shared" si="10"/>
        <v>7224404.452674529</v>
      </c>
      <c r="K41" s="137">
        <f t="shared" si="10"/>
        <v>6185566.779104147</v>
      </c>
      <c r="L41" s="137">
        <f t="shared" si="10"/>
        <v>5146729.105533766</v>
      </c>
      <c r="M41" s="137">
        <f t="shared" si="10"/>
        <v>4107891.431963384</v>
      </c>
      <c r="N41" s="137">
        <f t="shared" si="10"/>
        <v>3069053.7583930027</v>
      </c>
      <c r="O41" s="137">
        <f t="shared" si="10"/>
        <v>2301754.393794753</v>
      </c>
      <c r="P41" s="137">
        <f t="shared" si="10"/>
        <v>1534455.0291965036</v>
      </c>
      <c r="Q41" s="137">
        <f t="shared" si="10"/>
        <v>767155.6645982539</v>
      </c>
      <c r="R41" s="137"/>
      <c r="S41" s="137"/>
      <c r="T41" s="137"/>
    </row>
    <row r="42" spans="1:20" ht="11.25">
      <c r="A42" s="134">
        <v>37</v>
      </c>
      <c r="B42" s="145" t="s">
        <v>160</v>
      </c>
      <c r="C42" s="14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ht="18.75">
      <c r="A43" s="134">
        <v>38</v>
      </c>
      <c r="B43" s="145" t="s">
        <v>161</v>
      </c>
      <c r="C43" s="14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30" customHeight="1">
      <c r="A44" s="134">
        <v>39</v>
      </c>
      <c r="B44" s="145" t="s">
        <v>162</v>
      </c>
      <c r="C44" s="146">
        <f aca="true" t="shared" si="11" ref="C44:T44">C45+C46</f>
        <v>377</v>
      </c>
      <c r="D44" s="146">
        <f t="shared" si="11"/>
        <v>0</v>
      </c>
      <c r="E44" s="147">
        <f t="shared" si="11"/>
        <v>0</v>
      </c>
      <c r="F44" s="147">
        <f t="shared" si="11"/>
        <v>0</v>
      </c>
      <c r="G44" s="147">
        <f t="shared" si="11"/>
        <v>0</v>
      </c>
      <c r="H44" s="147">
        <f t="shared" si="11"/>
        <v>0</v>
      </c>
      <c r="I44" s="147">
        <f t="shared" si="11"/>
        <v>0</v>
      </c>
      <c r="J44" s="147">
        <f t="shared" si="11"/>
        <v>0</v>
      </c>
      <c r="K44" s="147">
        <f t="shared" si="11"/>
        <v>0</v>
      </c>
      <c r="L44" s="147">
        <f t="shared" si="11"/>
        <v>0</v>
      </c>
      <c r="M44" s="147">
        <f t="shared" si="11"/>
        <v>0</v>
      </c>
      <c r="N44" s="147">
        <f t="shared" si="11"/>
        <v>0</v>
      </c>
      <c r="O44" s="147">
        <f t="shared" si="11"/>
        <v>0</v>
      </c>
      <c r="P44" s="147">
        <f t="shared" si="11"/>
        <v>0</v>
      </c>
      <c r="Q44" s="147">
        <f t="shared" si="11"/>
        <v>0</v>
      </c>
      <c r="R44" s="147">
        <f t="shared" si="11"/>
        <v>0</v>
      </c>
      <c r="S44" s="147">
        <f t="shared" si="11"/>
        <v>0</v>
      </c>
      <c r="T44" s="147">
        <f t="shared" si="11"/>
        <v>0</v>
      </c>
    </row>
    <row r="45" spans="1:20" ht="42.75" customHeight="1">
      <c r="A45" s="134">
        <v>40</v>
      </c>
      <c r="B45" s="148" t="s">
        <v>163</v>
      </c>
      <c r="C45" s="146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53.25" customHeight="1">
      <c r="A46" s="134">
        <v>41</v>
      </c>
      <c r="B46" s="148" t="s">
        <v>164</v>
      </c>
      <c r="C46" s="146">
        <v>377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63" customHeight="1">
      <c r="A47" s="191">
        <v>42</v>
      </c>
      <c r="B47" s="145" t="s">
        <v>165</v>
      </c>
      <c r="C47" s="146">
        <f aca="true" t="shared" si="12" ref="C47:T47">SUM(C48:C50)</f>
        <v>0</v>
      </c>
      <c r="D47" s="146">
        <f t="shared" si="12"/>
        <v>0</v>
      </c>
      <c r="E47" s="147">
        <f t="shared" si="12"/>
        <v>0</v>
      </c>
      <c r="F47" s="147">
        <f t="shared" si="12"/>
        <v>0</v>
      </c>
      <c r="G47" s="147">
        <f t="shared" si="12"/>
        <v>0</v>
      </c>
      <c r="H47" s="147">
        <f t="shared" si="12"/>
        <v>0</v>
      </c>
      <c r="I47" s="147">
        <f t="shared" si="12"/>
        <v>0</v>
      </c>
      <c r="J47" s="147">
        <f t="shared" si="12"/>
        <v>0</v>
      </c>
      <c r="K47" s="147">
        <f t="shared" si="12"/>
        <v>0</v>
      </c>
      <c r="L47" s="147">
        <f t="shared" si="12"/>
        <v>0</v>
      </c>
      <c r="M47" s="147">
        <f t="shared" si="12"/>
        <v>0</v>
      </c>
      <c r="N47" s="147">
        <f t="shared" si="12"/>
        <v>0</v>
      </c>
      <c r="O47" s="147">
        <f t="shared" si="12"/>
        <v>0</v>
      </c>
      <c r="P47" s="147">
        <f t="shared" si="12"/>
        <v>0</v>
      </c>
      <c r="Q47" s="147">
        <f t="shared" si="12"/>
        <v>0</v>
      </c>
      <c r="R47" s="147">
        <f t="shared" si="12"/>
        <v>0</v>
      </c>
      <c r="S47" s="147">
        <f t="shared" si="12"/>
        <v>0</v>
      </c>
      <c r="T47" s="147">
        <f t="shared" si="12"/>
        <v>0</v>
      </c>
    </row>
    <row r="48" spans="1:20" ht="11.25">
      <c r="A48" s="191">
        <v>43</v>
      </c>
      <c r="B48" s="148" t="s">
        <v>166</v>
      </c>
      <c r="C48" s="146"/>
      <c r="D48" s="149"/>
      <c r="E48" s="149"/>
      <c r="F48" s="136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1.25">
      <c r="A49" s="191">
        <v>44</v>
      </c>
      <c r="B49" s="148" t="s">
        <v>167</v>
      </c>
      <c r="C49" s="146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</row>
    <row r="50" spans="1:20" ht="22.5">
      <c r="A50" s="191">
        <v>45</v>
      </c>
      <c r="B50" s="148" t="s">
        <v>168</v>
      </c>
      <c r="C50" s="146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</row>
    <row r="51" spans="1:20" ht="35.25" customHeight="1">
      <c r="A51" s="138">
        <v>43</v>
      </c>
      <c r="B51" s="131" t="s">
        <v>169</v>
      </c>
      <c r="C51" s="150">
        <f aca="true" t="shared" si="13" ref="C51:T51">C39/C6*100</f>
        <v>9.8545408862892</v>
      </c>
      <c r="D51" s="150">
        <f t="shared" si="13"/>
        <v>7.641472188812036</v>
      </c>
      <c r="E51" s="150">
        <f t="shared" si="13"/>
        <v>30.71530860643798</v>
      </c>
      <c r="F51" s="150">
        <f t="shared" si="13"/>
        <v>39.3838087700216</v>
      </c>
      <c r="G51" s="150">
        <f t="shared" si="13"/>
        <v>40.96120335642799</v>
      </c>
      <c r="H51" s="150">
        <f t="shared" si="13"/>
        <v>34.61080131540887</v>
      </c>
      <c r="I51" s="150">
        <f t="shared" si="13"/>
        <v>29.13119040540163</v>
      </c>
      <c r="J51" s="150">
        <f t="shared" si="13"/>
        <v>24.51786871330373</v>
      </c>
      <c r="K51" s="150">
        <f t="shared" si="13"/>
        <v>20.126773675327318</v>
      </c>
      <c r="L51" s="150">
        <f t="shared" si="13"/>
        <v>15.783292457848827</v>
      </c>
      <c r="M51" s="150">
        <f t="shared" si="13"/>
        <v>11.54902312601723</v>
      </c>
      <c r="N51" s="150">
        <f t="shared" si="13"/>
        <v>7.5812708048265</v>
      </c>
      <c r="O51" s="150">
        <f t="shared" si="13"/>
        <v>4.220495725234587</v>
      </c>
      <c r="P51" s="150">
        <f t="shared" si="13"/>
        <v>2.7750490438437865</v>
      </c>
      <c r="Q51" s="150">
        <f t="shared" si="13"/>
        <v>1.3668912135958915</v>
      </c>
      <c r="R51" s="150">
        <f t="shared" si="13"/>
        <v>0</v>
      </c>
      <c r="S51" s="150">
        <f t="shared" si="13"/>
        <v>0</v>
      </c>
      <c r="T51" s="150">
        <f t="shared" si="13"/>
        <v>0</v>
      </c>
    </row>
    <row r="52" spans="1:20" ht="45.75" customHeight="1">
      <c r="A52" s="151">
        <v>44</v>
      </c>
      <c r="B52" s="145" t="s">
        <v>170</v>
      </c>
      <c r="C52" s="152">
        <f aca="true" t="shared" si="14" ref="C52:T52">(C39-C47)/C6%</f>
        <v>9.854540886289199</v>
      </c>
      <c r="D52" s="152">
        <f t="shared" si="14"/>
        <v>7.641472188812036</v>
      </c>
      <c r="E52" s="152">
        <f t="shared" si="14"/>
        <v>30.71530860643798</v>
      </c>
      <c r="F52" s="152">
        <f t="shared" si="14"/>
        <v>39.38380877002161</v>
      </c>
      <c r="G52" s="152">
        <f t="shared" si="14"/>
        <v>40.96120335642799</v>
      </c>
      <c r="H52" s="152">
        <f t="shared" si="14"/>
        <v>34.61080131540887</v>
      </c>
      <c r="I52" s="152">
        <f t="shared" si="14"/>
        <v>29.13119040540163</v>
      </c>
      <c r="J52" s="152">
        <f t="shared" si="14"/>
        <v>24.51786871330373</v>
      </c>
      <c r="K52" s="152">
        <f t="shared" si="14"/>
        <v>20.126773675327318</v>
      </c>
      <c r="L52" s="152">
        <f t="shared" si="14"/>
        <v>15.783292457848827</v>
      </c>
      <c r="M52" s="152">
        <f t="shared" si="14"/>
        <v>11.54902312601723</v>
      </c>
      <c r="N52" s="152">
        <f t="shared" si="14"/>
        <v>7.581270804826499</v>
      </c>
      <c r="O52" s="152">
        <f t="shared" si="14"/>
        <v>4.220495725234587</v>
      </c>
      <c r="P52" s="152">
        <f t="shared" si="14"/>
        <v>2.7750490438437865</v>
      </c>
      <c r="Q52" s="152">
        <f t="shared" si="14"/>
        <v>1.3668912135958917</v>
      </c>
      <c r="R52" s="152">
        <f t="shared" si="14"/>
        <v>0</v>
      </c>
      <c r="S52" s="152">
        <f t="shared" si="14"/>
        <v>0</v>
      </c>
      <c r="T52" s="152">
        <f t="shared" si="14"/>
        <v>0</v>
      </c>
    </row>
    <row r="53" spans="1:20" ht="51" customHeight="1">
      <c r="A53" s="138">
        <v>45</v>
      </c>
      <c r="B53" s="131" t="s">
        <v>171</v>
      </c>
      <c r="C53" s="132">
        <f aca="true" t="shared" si="15" ref="C53:K53">C54+C55+C56+C57+C58+C59</f>
        <v>3383116</v>
      </c>
      <c r="D53" s="132">
        <f t="shared" si="15"/>
        <v>1777354</v>
      </c>
      <c r="E53" s="133">
        <f t="shared" si="15"/>
        <v>2597473.1961961645</v>
      </c>
      <c r="F53" s="133">
        <f t="shared" si="15"/>
        <v>2085530.4299047203</v>
      </c>
      <c r="G53" s="133">
        <f t="shared" si="15"/>
        <v>2806912.074489943</v>
      </c>
      <c r="H53" s="133">
        <f t="shared" si="15"/>
        <v>3573862.6968001365</v>
      </c>
      <c r="I53" s="133">
        <f t="shared" si="15"/>
        <v>3432864.694059484</v>
      </c>
      <c r="J53" s="133">
        <f t="shared" si="15"/>
        <v>3305206.911318831</v>
      </c>
      <c r="K53" s="133">
        <f t="shared" si="15"/>
        <v>3173273.678578179</v>
      </c>
      <c r="L53" s="133">
        <f>M54+L55+L56+L57+L58+L59</f>
        <v>2985350.663096874</v>
      </c>
      <c r="M53" s="133">
        <f>N54+M55+M56+M57+M58+M59</f>
        <v>2851989.850356221</v>
      </c>
      <c r="N53" s="133">
        <f aca="true" t="shared" si="16" ref="N53:T53">N54+N55+N56+N57+N58+N59</f>
        <v>2787167.2803562214</v>
      </c>
      <c r="O53" s="133">
        <f t="shared" si="16"/>
        <v>2407801.338643437</v>
      </c>
      <c r="P53" s="133">
        <f t="shared" si="16"/>
        <v>1297281.5561321399</v>
      </c>
      <c r="Q53" s="133">
        <f t="shared" si="16"/>
        <v>1263483.8036208432</v>
      </c>
      <c r="R53" s="133">
        <f t="shared" si="16"/>
        <v>1209889.6671095465</v>
      </c>
      <c r="S53" s="133">
        <f t="shared" si="16"/>
        <v>409490.22</v>
      </c>
      <c r="T53" s="133">
        <f t="shared" si="16"/>
        <v>401019.02</v>
      </c>
    </row>
    <row r="54" spans="1:20" ht="36">
      <c r="A54" s="134">
        <v>46</v>
      </c>
      <c r="B54" s="145" t="s">
        <v>172</v>
      </c>
      <c r="C54" s="146">
        <v>2199423</v>
      </c>
      <c r="D54" s="146">
        <v>1777354</v>
      </c>
      <c r="E54" s="146">
        <f>kredyty_2!C15</f>
        <v>1922040.7961961643</v>
      </c>
      <c r="F54" s="146">
        <f>kredyty_2!D15</f>
        <v>1181307.4399047203</v>
      </c>
      <c r="G54" s="147">
        <f>kredyty_2!E15</f>
        <v>1871450.374489943</v>
      </c>
      <c r="H54" s="147">
        <f>kredyty_2!F15</f>
        <v>1648951.7868001366</v>
      </c>
      <c r="I54" s="147">
        <f>kredyty_2!G15</f>
        <v>1587660.364059484</v>
      </c>
      <c r="J54" s="147">
        <f>kredyty_2!H15</f>
        <v>1526368.9413188314</v>
      </c>
      <c r="K54" s="147">
        <f>kredyty_2!I15</f>
        <v>1465077.518578179</v>
      </c>
      <c r="L54" s="147">
        <f>kredyty_2!J15</f>
        <v>1403786.0958375265</v>
      </c>
      <c r="M54" s="147">
        <f>kredyty_2!K15</f>
        <v>1342494.6730968738</v>
      </c>
      <c r="N54" s="147">
        <f>kredyty_2!L15</f>
        <v>1281203.2503562213</v>
      </c>
      <c r="O54" s="147">
        <f>kredyty_2!M15</f>
        <v>948373.5186434367</v>
      </c>
      <c r="P54" s="147">
        <f>kredyty_2!N15</f>
        <v>903102.8561321399</v>
      </c>
      <c r="Q54" s="147">
        <f>kredyty_2!O15</f>
        <v>857832.1936208432</v>
      </c>
      <c r="R54" s="147">
        <f>kredyty_2!P15</f>
        <v>812510.9871095465</v>
      </c>
      <c r="S54" s="147">
        <f>kredyty_2!Q15</f>
        <v>0</v>
      </c>
      <c r="T54" s="147">
        <f>kredyty_2!R15</f>
        <v>0</v>
      </c>
    </row>
    <row r="55" spans="1:20" ht="36">
      <c r="A55" s="134">
        <v>47</v>
      </c>
      <c r="B55" s="145" t="s">
        <v>173</v>
      </c>
      <c r="C55" s="146">
        <v>123417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</row>
    <row r="56" spans="1:20" ht="40.5" customHeight="1">
      <c r="A56" s="134">
        <v>48</v>
      </c>
      <c r="B56" s="145" t="s">
        <v>174</v>
      </c>
      <c r="C56" s="146"/>
      <c r="D56" s="146"/>
      <c r="E56" s="146">
        <f>poreczenia!D13+poreczenia!E13</f>
        <v>445203.4</v>
      </c>
      <c r="F56" s="146">
        <f>poreczenia!E13+poreczenia!F13</f>
        <v>445022.99</v>
      </c>
      <c r="G56" s="147">
        <f>poreczenia!F13+poreczenia!G13</f>
        <v>476261.7</v>
      </c>
      <c r="H56" s="147">
        <f>poreczenia!G13+poreczenia!H13</f>
        <v>465710.91000000003</v>
      </c>
      <c r="I56" s="147">
        <f>poreczenia!H13+poreczenia!I13</f>
        <v>443404.32999999996</v>
      </c>
      <c r="J56" s="147">
        <f>poreczenia!I13+poreczenia!J13</f>
        <v>434437.97</v>
      </c>
      <c r="K56" s="147">
        <f>poreczenia!J13+poreczenia!K13</f>
        <v>421196.16000000003</v>
      </c>
      <c r="L56" s="147">
        <f>poreczenia!K13+poreczenia!L13</f>
        <v>413255.99</v>
      </c>
      <c r="M56" s="147">
        <f>poreczenia!L13+poreczenia!M13</f>
        <v>398586.6</v>
      </c>
      <c r="N56" s="147">
        <f>poreczenia!M13+poreczenia!N13</f>
        <v>391164.03</v>
      </c>
      <c r="O56" s="147">
        <f>poreczenia!N13+poreczenia!O13</f>
        <v>402027.82</v>
      </c>
      <c r="P56" s="147">
        <f>poreczenia!O13+poreczenia!P13</f>
        <v>394178.69999999995</v>
      </c>
      <c r="Q56" s="147">
        <f>poreczenia!P13+poreczenia!Q13</f>
        <v>405651.61</v>
      </c>
      <c r="R56" s="147">
        <f>poreczenia!Q13+poreczenia!R13</f>
        <v>397378.67999999993</v>
      </c>
      <c r="S56" s="147">
        <f>poreczenia!R13+poreczenia!S13</f>
        <v>409490.22</v>
      </c>
      <c r="T56" s="147">
        <f>poreczenia!S13+poreczenia!T13</f>
        <v>401019.02</v>
      </c>
    </row>
    <row r="57" spans="1:20" ht="75" customHeight="1">
      <c r="A57" s="134">
        <v>49</v>
      </c>
      <c r="B57" s="145" t="s">
        <v>175</v>
      </c>
      <c r="C57" s="146">
        <v>1060276</v>
      </c>
      <c r="D57" s="146"/>
      <c r="E57" s="146">
        <v>230229</v>
      </c>
      <c r="F57" s="146">
        <v>459200</v>
      </c>
      <c r="G57" s="146">
        <v>459200</v>
      </c>
      <c r="H57" s="146">
        <v>1459200</v>
      </c>
      <c r="I57" s="146">
        <v>1401800</v>
      </c>
      <c r="J57" s="146">
        <v>1344400</v>
      </c>
      <c r="K57" s="146">
        <v>1287000</v>
      </c>
      <c r="L57" s="146">
        <v>1229600</v>
      </c>
      <c r="M57" s="146">
        <v>1172200</v>
      </c>
      <c r="N57" s="146">
        <v>1114800</v>
      </c>
      <c r="O57" s="146">
        <v>1057400</v>
      </c>
      <c r="P57" s="146"/>
      <c r="Q57" s="146"/>
      <c r="R57" s="146"/>
      <c r="S57" s="146"/>
      <c r="T57" s="146"/>
    </row>
    <row r="58" spans="1:20" ht="59.25" customHeight="1">
      <c r="A58" s="134">
        <v>50</v>
      </c>
      <c r="B58" s="145" t="s">
        <v>176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</row>
    <row r="59" spans="1:20" ht="63.75" customHeight="1">
      <c r="A59" s="191">
        <v>51</v>
      </c>
      <c r="B59" s="145" t="s">
        <v>177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</row>
    <row r="60" spans="1:20" ht="22.5">
      <c r="A60" s="191"/>
      <c r="B60" s="148" t="s">
        <v>178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</row>
    <row r="61" spans="1:20" ht="22.5">
      <c r="A61" s="191"/>
      <c r="B61" s="148" t="s">
        <v>179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</row>
    <row r="62" spans="1:20" ht="33.75">
      <c r="A62" s="191"/>
      <c r="B62" s="148" t="s">
        <v>180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0" ht="64.5" customHeight="1">
      <c r="A63" s="191"/>
      <c r="B63" s="148" t="s">
        <v>181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0" ht="55.5" customHeight="1">
      <c r="A64" s="138">
        <v>52</v>
      </c>
      <c r="B64" s="131" t="s">
        <v>182</v>
      </c>
      <c r="C64" s="150">
        <f aca="true" t="shared" si="17" ref="C64:T64">C53/C6*100</f>
        <v>8.561862867904527</v>
      </c>
      <c r="D64" s="150">
        <f t="shared" si="17"/>
        <v>4.358203156618342</v>
      </c>
      <c r="E64" s="150">
        <f t="shared" si="17"/>
        <v>8.500326619449734</v>
      </c>
      <c r="F64" s="150">
        <f t="shared" si="17"/>
        <v>4.644327594808361</v>
      </c>
      <c r="G64" s="150">
        <f t="shared" si="17"/>
        <v>6.268742905235471</v>
      </c>
      <c r="H64" s="150">
        <f t="shared" si="17"/>
        <v>7.5876362553999</v>
      </c>
      <c r="I64" s="150">
        <f t="shared" si="17"/>
        <v>7.011269538404422</v>
      </c>
      <c r="J64" s="150">
        <f t="shared" si="17"/>
        <v>6.629086057790697</v>
      </c>
      <c r="K64" s="150">
        <f t="shared" si="17"/>
        <v>6.270417986914789</v>
      </c>
      <c r="L64" s="150">
        <f t="shared" si="17"/>
        <v>5.783752226753798</v>
      </c>
      <c r="M64" s="150">
        <f t="shared" si="17"/>
        <v>5.392646071697215</v>
      </c>
      <c r="N64" s="150">
        <f t="shared" si="17"/>
        <v>5.192919824946551</v>
      </c>
      <c r="O64" s="150">
        <f t="shared" si="17"/>
        <v>4.414943351190968</v>
      </c>
      <c r="P64" s="150">
        <f t="shared" si="17"/>
        <v>2.34612280806025</v>
      </c>
      <c r="Q64" s="150">
        <f t="shared" si="17"/>
        <v>2.251231385476989</v>
      </c>
      <c r="R64" s="150">
        <f t="shared" si="17"/>
        <v>2.123881006689228</v>
      </c>
      <c r="S64" s="150">
        <f t="shared" si="17"/>
        <v>0.708209755807385</v>
      </c>
      <c r="T64" s="150">
        <f t="shared" si="17"/>
        <v>0.6834409305595117</v>
      </c>
    </row>
    <row r="65" spans="1:20" s="153" customFormat="1" ht="58.5">
      <c r="A65" s="134">
        <v>53</v>
      </c>
      <c r="B65" s="145" t="s">
        <v>183</v>
      </c>
      <c r="C65" s="152">
        <f aca="true" t="shared" si="18" ref="C65:T65">(C53-C59)/C6%</f>
        <v>8.561862867904527</v>
      </c>
      <c r="D65" s="152">
        <f t="shared" si="18"/>
        <v>4.358203156618342</v>
      </c>
      <c r="E65" s="152">
        <f t="shared" si="18"/>
        <v>8.500326619449734</v>
      </c>
      <c r="F65" s="152">
        <f t="shared" si="18"/>
        <v>4.644327594808361</v>
      </c>
      <c r="G65" s="152">
        <f t="shared" si="18"/>
        <v>6.268742905235471</v>
      </c>
      <c r="H65" s="152">
        <f t="shared" si="18"/>
        <v>7.5876362553999</v>
      </c>
      <c r="I65" s="152">
        <f t="shared" si="18"/>
        <v>7.011269538404421</v>
      </c>
      <c r="J65" s="152">
        <f t="shared" si="18"/>
        <v>6.629086057790697</v>
      </c>
      <c r="K65" s="152">
        <f t="shared" si="18"/>
        <v>6.270417986914788</v>
      </c>
      <c r="L65" s="152">
        <f t="shared" si="18"/>
        <v>5.783752226753797</v>
      </c>
      <c r="M65" s="152">
        <f t="shared" si="18"/>
        <v>5.392646071697215</v>
      </c>
      <c r="N65" s="152">
        <f t="shared" si="18"/>
        <v>5.19291982494655</v>
      </c>
      <c r="O65" s="152">
        <f t="shared" si="18"/>
        <v>4.414943351190967</v>
      </c>
      <c r="P65" s="152">
        <f t="shared" si="18"/>
        <v>2.34612280806025</v>
      </c>
      <c r="Q65" s="152">
        <f t="shared" si="18"/>
        <v>2.251231385476989</v>
      </c>
      <c r="R65" s="152">
        <f t="shared" si="18"/>
        <v>2.123881006689228</v>
      </c>
      <c r="S65" s="152">
        <f t="shared" si="18"/>
        <v>0.708209755807385</v>
      </c>
      <c r="T65" s="152">
        <f t="shared" si="18"/>
        <v>0.6834409305595117</v>
      </c>
    </row>
    <row r="66" spans="1:20" ht="34.5" customHeight="1">
      <c r="A66" s="192" t="s">
        <v>184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</row>
    <row r="67" spans="1:20" ht="11.25">
      <c r="A67" s="154">
        <v>54</v>
      </c>
      <c r="B67" s="155" t="s">
        <v>185</v>
      </c>
      <c r="C67" s="156">
        <f>C7</f>
        <v>37780784</v>
      </c>
      <c r="D67" s="156">
        <f>D7</f>
        <v>38775807</v>
      </c>
      <c r="E67" s="157">
        <f>E7</f>
        <v>29823761</v>
      </c>
      <c r="F67" s="158"/>
      <c r="G67" s="158"/>
      <c r="H67" s="158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</row>
    <row r="68" spans="1:20" ht="11.25">
      <c r="A68" s="154">
        <v>55</v>
      </c>
      <c r="B68" s="155" t="s">
        <v>186</v>
      </c>
      <c r="C68" s="156">
        <f>C9</f>
        <v>1733000</v>
      </c>
      <c r="D68" s="156">
        <f>D9</f>
        <v>2006000</v>
      </c>
      <c r="E68" s="157">
        <f>E9</f>
        <v>677927</v>
      </c>
      <c r="F68" s="158"/>
      <c r="G68" s="158"/>
      <c r="H68" s="158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</row>
    <row r="69" spans="1:20" ht="11.25">
      <c r="A69" s="160">
        <v>56</v>
      </c>
      <c r="B69" s="161" t="s">
        <v>187</v>
      </c>
      <c r="C69" s="156">
        <f>C11</f>
        <v>32783361</v>
      </c>
      <c r="D69" s="156">
        <f>D11</f>
        <v>35629630</v>
      </c>
      <c r="E69" s="157">
        <f>E11</f>
        <v>27413409</v>
      </c>
      <c r="F69" s="158"/>
      <c r="G69" s="158"/>
      <c r="H69" s="158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</row>
    <row r="70" spans="1:20" ht="21">
      <c r="A70" s="162">
        <v>57</v>
      </c>
      <c r="B70" s="163" t="s">
        <v>188</v>
      </c>
      <c r="C70" s="164">
        <f>(C67+C68-C69)/C6</f>
        <v>0.17033101663966174</v>
      </c>
      <c r="D70" s="164">
        <f>(D67+D68-D69)/D6</f>
        <v>0.1263351817637703</v>
      </c>
      <c r="E70" s="165">
        <f>(E67+E68-E69)/E6</f>
        <v>0.10106506673651569</v>
      </c>
      <c r="F70" s="166"/>
      <c r="G70" s="166"/>
      <c r="H70" s="166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1:20" ht="22.5">
      <c r="A71" s="168">
        <v>58</v>
      </c>
      <c r="B71" s="169" t="s">
        <v>189</v>
      </c>
      <c r="C71" s="158"/>
      <c r="D71" s="158"/>
      <c r="E71" s="158"/>
      <c r="F71" s="156">
        <f aca="true" t="shared" si="19" ref="F71:K71">F54+F55+F57</f>
        <v>1640507.4399047203</v>
      </c>
      <c r="G71" s="156">
        <f t="shared" si="19"/>
        <v>2330650.374489943</v>
      </c>
      <c r="H71" s="157">
        <f t="shared" si="19"/>
        <v>3108151.786800137</v>
      </c>
      <c r="I71" s="157">
        <f t="shared" si="19"/>
        <v>2989460.364059484</v>
      </c>
      <c r="J71" s="157">
        <f t="shared" si="19"/>
        <v>2870768.9413188314</v>
      </c>
      <c r="K71" s="157">
        <f t="shared" si="19"/>
        <v>2752077.518578179</v>
      </c>
      <c r="L71" s="157">
        <f>M54+L55+L57</f>
        <v>2572094.673096874</v>
      </c>
      <c r="M71" s="157">
        <f>N54+M55+M57</f>
        <v>2453403.2503562216</v>
      </c>
      <c r="N71" s="157">
        <f aca="true" t="shared" si="20" ref="N71:T71">N54+N55+N57</f>
        <v>2396003.2503562216</v>
      </c>
      <c r="O71" s="157">
        <f t="shared" si="20"/>
        <v>2005773.5186434367</v>
      </c>
      <c r="P71" s="157">
        <f t="shared" si="20"/>
        <v>903102.8561321399</v>
      </c>
      <c r="Q71" s="157">
        <f t="shared" si="20"/>
        <v>857832.1936208432</v>
      </c>
      <c r="R71" s="157">
        <f t="shared" si="20"/>
        <v>812510.9871095465</v>
      </c>
      <c r="S71" s="157">
        <f t="shared" si="20"/>
        <v>0</v>
      </c>
      <c r="T71" s="157">
        <f t="shared" si="20"/>
        <v>0</v>
      </c>
    </row>
    <row r="72" spans="1:20" ht="22.5">
      <c r="A72" s="162">
        <v>59</v>
      </c>
      <c r="B72" s="163" t="s">
        <v>190</v>
      </c>
      <c r="C72" s="158"/>
      <c r="D72" s="158"/>
      <c r="E72" s="158"/>
      <c r="F72" s="164">
        <f aca="true" t="shared" si="21" ref="F72:T72">F71/F6</f>
        <v>0.03653293120727084</v>
      </c>
      <c r="G72" s="164">
        <f t="shared" si="21"/>
        <v>0.0520509642337946</v>
      </c>
      <c r="H72" s="165">
        <f t="shared" si="21"/>
        <v>0.06598889544896687</v>
      </c>
      <c r="I72" s="165">
        <f t="shared" si="21"/>
        <v>0.06105662254346475</v>
      </c>
      <c r="J72" s="165">
        <f t="shared" si="21"/>
        <v>0.057577558303125165</v>
      </c>
      <c r="K72" s="165">
        <f t="shared" si="21"/>
        <v>0.054381304992289485</v>
      </c>
      <c r="L72" s="165">
        <f t="shared" si="21"/>
        <v>0.04983119228450547</v>
      </c>
      <c r="M72" s="165">
        <f t="shared" si="21"/>
        <v>0.04638984040798796</v>
      </c>
      <c r="N72" s="165">
        <f t="shared" si="21"/>
        <v>0.04464121284396314</v>
      </c>
      <c r="O72" s="165">
        <f t="shared" si="21"/>
        <v>0.036777853380208274</v>
      </c>
      <c r="P72" s="165">
        <f t="shared" si="21"/>
        <v>0.016332539368810316</v>
      </c>
      <c r="Q72" s="165">
        <f t="shared" si="21"/>
        <v>0.01528455491251663</v>
      </c>
      <c r="R72" s="165">
        <f t="shared" si="21"/>
        <v>0.014263091091363415</v>
      </c>
      <c r="S72" s="165">
        <f t="shared" si="21"/>
        <v>0</v>
      </c>
      <c r="T72" s="165">
        <f t="shared" si="21"/>
        <v>0</v>
      </c>
    </row>
    <row r="73" spans="1:20" ht="11.25">
      <c r="A73" s="187" t="s">
        <v>191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</row>
    <row r="74" spans="1:20" ht="14.25">
      <c r="A74" s="188" t="s">
        <v>192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</sheetData>
  <sheetProtection/>
  <mergeCells count="8">
    <mergeCell ref="A73:T73"/>
    <mergeCell ref="A74:T74"/>
    <mergeCell ref="A2:T2"/>
    <mergeCell ref="C4:E4"/>
    <mergeCell ref="F4:T4"/>
    <mergeCell ref="A47:A50"/>
    <mergeCell ref="A59:A63"/>
    <mergeCell ref="A66:T66"/>
  </mergeCells>
  <printOptions horizontalCentered="1" verticalCentered="1"/>
  <pageMargins left="0.27569444444444446" right="0.11805555555555555" top="0.5902777777777778" bottom="0.5902777777777778" header="0.5118055555555555" footer="0.5118055555555555"/>
  <pageSetup horizontalDpi="300" verticalDpi="300" orientation="landscape" paperSize="9" scale="73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9"/>
  <sheetViews>
    <sheetView showGridLines="0" defaultGridColor="0" view="pageBreakPreview" zoomScale="80" zoomScaleSheetLayoutView="80" zoomScalePageLayoutView="0" colorId="15" workbookViewId="0" topLeftCell="A1">
      <selection activeCell="P10" activeCellId="1" sqref="O44:T44 P10"/>
    </sheetView>
  </sheetViews>
  <sheetFormatPr defaultColWidth="9.00390625" defaultRowHeight="12.75"/>
  <cols>
    <col min="1" max="1" width="9.25390625" style="91" customWidth="1"/>
    <col min="2" max="2" width="14.00390625" style="92" customWidth="1"/>
    <col min="3" max="3" width="10.875" style="92" customWidth="1"/>
    <col min="4" max="4" width="15.75390625" style="92" customWidth="1"/>
    <col min="5" max="13" width="9.875" style="92" bestFit="1" customWidth="1"/>
    <col min="14" max="14" width="11.75390625" style="92" customWidth="1"/>
    <col min="15" max="18" width="8.75390625" style="92" customWidth="1"/>
    <col min="19" max="19" width="12.00390625" style="92" customWidth="1"/>
    <col min="20" max="20" width="9.125" style="92" customWidth="1"/>
    <col min="21" max="21" width="11.25390625" style="92" customWidth="1"/>
    <col min="22" max="245" width="9.125" style="92" customWidth="1"/>
  </cols>
  <sheetData>
    <row r="1" spans="1:19" ht="34.5" customHeight="1">
      <c r="A1" s="186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93"/>
      <c r="Q1" s="93"/>
      <c r="R1" s="93"/>
      <c r="S1" s="93"/>
    </row>
    <row r="2" spans="1:19" ht="24.75" customHeight="1">
      <c r="A2" s="94"/>
      <c r="B2" s="95"/>
      <c r="C2" s="96" t="s">
        <v>99</v>
      </c>
      <c r="D2" s="96" t="s">
        <v>100</v>
      </c>
      <c r="E2" s="96">
        <v>2011</v>
      </c>
      <c r="F2" s="96">
        <v>2012</v>
      </c>
      <c r="G2" s="96">
        <v>2013</v>
      </c>
      <c r="H2" s="96">
        <v>2014</v>
      </c>
      <c r="I2" s="96">
        <v>2015</v>
      </c>
      <c r="J2" s="96">
        <v>2016</v>
      </c>
      <c r="K2" s="96">
        <v>2017</v>
      </c>
      <c r="L2" s="96">
        <v>2018</v>
      </c>
      <c r="M2" s="96">
        <v>2019</v>
      </c>
      <c r="N2" s="96">
        <v>2020</v>
      </c>
      <c r="O2" s="96">
        <v>2021</v>
      </c>
      <c r="P2" s="96">
        <v>2022</v>
      </c>
      <c r="Q2" s="96">
        <v>2023</v>
      </c>
      <c r="R2" s="96">
        <v>2024</v>
      </c>
      <c r="S2" s="96" t="s">
        <v>71</v>
      </c>
    </row>
    <row r="3" spans="1:19" ht="12.75">
      <c r="A3" s="97"/>
      <c r="B3" s="98" t="s">
        <v>101</v>
      </c>
      <c r="C3" s="99">
        <f aca="true" t="shared" si="0" ref="C3:R3">SUM(C4:C11)</f>
        <v>1750567</v>
      </c>
      <c r="D3" s="99">
        <f t="shared" si="0"/>
        <v>908113.84</v>
      </c>
      <c r="E3" s="99">
        <f t="shared" si="0"/>
        <v>1245108.6645982498</v>
      </c>
      <c r="F3" s="99">
        <f t="shared" si="0"/>
        <v>1038837.6735703817</v>
      </c>
      <c r="G3" s="99">
        <f t="shared" si="0"/>
        <v>1038837.6735703817</v>
      </c>
      <c r="H3" s="99">
        <f t="shared" si="0"/>
        <v>1038837.6735703817</v>
      </c>
      <c r="I3" s="99">
        <f t="shared" si="0"/>
        <v>1038837.6735703817</v>
      </c>
      <c r="J3" s="99">
        <f t="shared" si="0"/>
        <v>1038837.6735703817</v>
      </c>
      <c r="K3" s="99">
        <f t="shared" si="0"/>
        <v>1038837.6735703817</v>
      </c>
      <c r="L3" s="99">
        <f t="shared" si="0"/>
        <v>1038837.6735703817</v>
      </c>
      <c r="M3" s="99">
        <f t="shared" si="0"/>
        <v>767299.3645982497</v>
      </c>
      <c r="N3" s="99">
        <f t="shared" si="0"/>
        <v>767299.3645982497</v>
      </c>
      <c r="O3" s="99">
        <f t="shared" si="0"/>
        <v>767299.3645982497</v>
      </c>
      <c r="P3" s="99">
        <f t="shared" si="0"/>
        <v>767155.3645982497</v>
      </c>
      <c r="Q3" s="99">
        <f t="shared" si="0"/>
        <v>0</v>
      </c>
      <c r="R3" s="99">
        <f t="shared" si="0"/>
        <v>0</v>
      </c>
      <c r="S3" s="100">
        <f aca="true" t="shared" si="1" ref="S3:S9">SUM(C3:R3)</f>
        <v>14244706.677983921</v>
      </c>
    </row>
    <row r="4" spans="1:19" ht="12.75">
      <c r="A4" s="97">
        <v>1</v>
      </c>
      <c r="B4" s="101" t="s">
        <v>102</v>
      </c>
      <c r="C4" s="99">
        <v>480000</v>
      </c>
      <c r="D4" s="99">
        <v>348272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0">
        <f t="shared" si="1"/>
        <v>828272</v>
      </c>
    </row>
    <row r="5" spans="1:19" ht="12.75">
      <c r="A5" s="97">
        <v>2</v>
      </c>
      <c r="B5" s="101" t="s">
        <v>102</v>
      </c>
      <c r="C5" s="99">
        <v>384000</v>
      </c>
      <c r="D5" s="99">
        <v>384000</v>
      </c>
      <c r="E5" s="99">
        <v>384000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0">
        <f t="shared" si="1"/>
        <v>1152000</v>
      </c>
    </row>
    <row r="6" spans="1:19" ht="12.75">
      <c r="A6" s="97">
        <v>3</v>
      </c>
      <c r="B6" s="98" t="s">
        <v>103</v>
      </c>
      <c r="C6" s="99">
        <v>386567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0">
        <f t="shared" si="1"/>
        <v>386567</v>
      </c>
    </row>
    <row r="7" spans="1:19" ht="12.75">
      <c r="A7" s="97">
        <v>4</v>
      </c>
      <c r="B7" s="101" t="s">
        <v>104</v>
      </c>
      <c r="C7" s="102"/>
      <c r="D7" s="102">
        <f>30398.14*4+4080*4+2914.28*4+3851.42*4+2716.62*4</f>
        <v>175841.84</v>
      </c>
      <c r="E7" s="102">
        <f>269651.14-D7</f>
        <v>93809.30000000002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0">
        <f t="shared" si="1"/>
        <v>269651.14</v>
      </c>
    </row>
    <row r="8" spans="1:19" ht="12.75">
      <c r="A8" s="97">
        <v>5</v>
      </c>
      <c r="B8" s="101" t="s">
        <v>102</v>
      </c>
      <c r="C8" s="99">
        <v>500000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>
        <f t="shared" si="1"/>
        <v>500000</v>
      </c>
    </row>
    <row r="9" spans="1:19" ht="12.75">
      <c r="A9" s="97">
        <v>8</v>
      </c>
      <c r="B9" s="101" t="s">
        <v>107</v>
      </c>
      <c r="C9" s="99"/>
      <c r="D9" s="99"/>
      <c r="E9" s="99">
        <f>Prognoza_2!$F$16/12</f>
        <v>767299.3645982497</v>
      </c>
      <c r="F9" s="99">
        <f>Prognoza_2!$F$16/12</f>
        <v>767299.3645982497</v>
      </c>
      <c r="G9" s="99">
        <f>Prognoza_2!$F$16/12</f>
        <v>767299.3645982497</v>
      </c>
      <c r="H9" s="99">
        <f>Prognoza_2!$F$16/12</f>
        <v>767299.3645982497</v>
      </c>
      <c r="I9" s="99">
        <f>Prognoza_2!$F$16/12</f>
        <v>767299.3645982497</v>
      </c>
      <c r="J9" s="99">
        <f>Prognoza_2!$F$16/12</f>
        <v>767299.3645982497</v>
      </c>
      <c r="K9" s="99">
        <f>Prognoza_2!$F$16/12</f>
        <v>767299.3645982497</v>
      </c>
      <c r="L9" s="99">
        <f>Prognoza_2!$F$16/12</f>
        <v>767299.3645982497</v>
      </c>
      <c r="M9" s="99">
        <f>Prognoza_2!$F$16/12</f>
        <v>767299.3645982497</v>
      </c>
      <c r="N9" s="99">
        <f>Prognoza_2!$F$16/12</f>
        <v>767299.3645982497</v>
      </c>
      <c r="O9" s="99">
        <f>Prognoza_2!$F$16/12</f>
        <v>767299.3645982497</v>
      </c>
      <c r="P9" s="99">
        <f>Prognoza_2!$F$16/12-144</f>
        <v>767155.3645982497</v>
      </c>
      <c r="Q9" s="99"/>
      <c r="R9" s="99"/>
      <c r="S9" s="100">
        <f t="shared" si="1"/>
        <v>9207448.375178998</v>
      </c>
    </row>
    <row r="10" spans="1:19" ht="12.75">
      <c r="A10" s="97">
        <v>9</v>
      </c>
      <c r="B10" s="101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</row>
    <row r="11" spans="1:19" ht="12.75">
      <c r="A11" s="97">
        <v>10</v>
      </c>
      <c r="B11" s="101" t="s">
        <v>108</v>
      </c>
      <c r="C11" s="99"/>
      <c r="D11" s="99"/>
      <c r="E11" s="99"/>
      <c r="F11" s="99">
        <f>Prognoza_2!$G$16/7</f>
        <v>271538.3089721321</v>
      </c>
      <c r="G11" s="99">
        <f>Prognoza_2!$G$16/7</f>
        <v>271538.3089721321</v>
      </c>
      <c r="H11" s="99">
        <f>Prognoza_2!$G$16/7</f>
        <v>271538.3089721321</v>
      </c>
      <c r="I11" s="99">
        <f>Prognoza_2!$G$16/7</f>
        <v>271538.3089721321</v>
      </c>
      <c r="J11" s="99">
        <f>Prognoza_2!$G$16/7</f>
        <v>271538.3089721321</v>
      </c>
      <c r="K11" s="99">
        <f>Prognoza_2!$G$16/7</f>
        <v>271538.3089721321</v>
      </c>
      <c r="L11" s="99">
        <f>Prognoza_2!$G$16/7</f>
        <v>271538.3089721321</v>
      </c>
      <c r="M11" s="99"/>
      <c r="N11" s="99"/>
      <c r="O11" s="99"/>
      <c r="P11" s="99"/>
      <c r="Q11" s="99"/>
      <c r="R11" s="99"/>
      <c r="S11" s="100">
        <f>SUM(C11:R11)</f>
        <v>1900768.1628049249</v>
      </c>
    </row>
    <row r="12" spans="1:19" ht="12.75">
      <c r="A12" s="97"/>
      <c r="B12" s="101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>
        <f>SUM(C12:R12)</f>
        <v>0</v>
      </c>
    </row>
    <row r="13" spans="1:19" ht="12.75">
      <c r="A13" s="97"/>
      <c r="B13" s="101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</row>
    <row r="14" spans="1:19" ht="12.75">
      <c r="A14" s="97"/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>
        <f aca="true" t="shared" si="2" ref="S14:S22">SUM(C14:R14)</f>
        <v>0</v>
      </c>
    </row>
    <row r="15" spans="1:256" s="105" customFormat="1" ht="12.75">
      <c r="A15" s="96"/>
      <c r="B15" s="98" t="s">
        <v>109</v>
      </c>
      <c r="C15" s="104">
        <f aca="true" t="shared" si="3" ref="C15:R15">C3+C17</f>
        <v>1922040.7961961643</v>
      </c>
      <c r="D15" s="104">
        <f t="shared" si="3"/>
        <v>1181307.4399047203</v>
      </c>
      <c r="E15" s="104">
        <f t="shared" si="3"/>
        <v>1871450.374489943</v>
      </c>
      <c r="F15" s="104">
        <f t="shared" si="3"/>
        <v>1648951.7868001366</v>
      </c>
      <c r="G15" s="104">
        <f t="shared" si="3"/>
        <v>1587660.364059484</v>
      </c>
      <c r="H15" s="104">
        <f t="shared" si="3"/>
        <v>1526368.9413188314</v>
      </c>
      <c r="I15" s="104">
        <f t="shared" si="3"/>
        <v>1465077.518578179</v>
      </c>
      <c r="J15" s="104">
        <f t="shared" si="3"/>
        <v>1403786.0958375265</v>
      </c>
      <c r="K15" s="104">
        <f t="shared" si="3"/>
        <v>1342494.6730968738</v>
      </c>
      <c r="L15" s="104">
        <f t="shared" si="3"/>
        <v>1281203.2503562213</v>
      </c>
      <c r="M15" s="104">
        <f t="shared" si="3"/>
        <v>948373.5186434367</v>
      </c>
      <c r="N15" s="104">
        <f t="shared" si="3"/>
        <v>903102.8561321399</v>
      </c>
      <c r="O15" s="104">
        <f t="shared" si="3"/>
        <v>857832.1936208432</v>
      </c>
      <c r="P15" s="104">
        <f t="shared" si="3"/>
        <v>812510.9871095465</v>
      </c>
      <c r="Q15" s="104">
        <f t="shared" si="3"/>
        <v>0</v>
      </c>
      <c r="R15" s="104">
        <f t="shared" si="3"/>
        <v>0</v>
      </c>
      <c r="S15" s="100">
        <f t="shared" si="2"/>
        <v>18752160.796144042</v>
      </c>
      <c r="IL15"/>
      <c r="IM15"/>
      <c r="IN15"/>
      <c r="IO15"/>
      <c r="IP15"/>
      <c r="IQ15"/>
      <c r="IR15"/>
      <c r="IS15"/>
      <c r="IT15"/>
      <c r="IU15"/>
      <c r="IV15"/>
    </row>
    <row r="16" spans="1:19" ht="12.75">
      <c r="A16" s="96"/>
      <c r="B16" s="98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>
        <f t="shared" si="2"/>
        <v>0</v>
      </c>
    </row>
    <row r="17" spans="1:19" ht="12.75">
      <c r="A17" s="97"/>
      <c r="B17" s="98" t="s">
        <v>110</v>
      </c>
      <c r="C17" s="104">
        <f aca="true" t="shared" si="4" ref="C17:R17">SUM(C18:C24)</f>
        <v>171473.7961961644</v>
      </c>
      <c r="D17" s="104">
        <f t="shared" si="4"/>
        <v>273193.5999047203</v>
      </c>
      <c r="E17" s="104">
        <f t="shared" si="4"/>
        <v>626341.7098916933</v>
      </c>
      <c r="F17" s="104">
        <f t="shared" si="4"/>
        <v>610114.1132297548</v>
      </c>
      <c r="G17" s="104">
        <f t="shared" si="4"/>
        <v>548822.6904891023</v>
      </c>
      <c r="H17" s="104">
        <f t="shared" si="4"/>
        <v>487531.26774844975</v>
      </c>
      <c r="I17" s="104">
        <f t="shared" si="4"/>
        <v>426239.84500779724</v>
      </c>
      <c r="J17" s="104">
        <f t="shared" si="4"/>
        <v>364948.42226714466</v>
      </c>
      <c r="K17" s="104">
        <f t="shared" si="4"/>
        <v>303656.99952649215</v>
      </c>
      <c r="L17" s="104">
        <f t="shared" si="4"/>
        <v>242365.5767858396</v>
      </c>
      <c r="M17" s="104">
        <f t="shared" si="4"/>
        <v>181074.15404518708</v>
      </c>
      <c r="N17" s="104">
        <f t="shared" si="4"/>
        <v>135803.4915338903</v>
      </c>
      <c r="O17" s="104">
        <f t="shared" si="4"/>
        <v>90532.8290225936</v>
      </c>
      <c r="P17" s="104">
        <f t="shared" si="4"/>
        <v>45355.62251129686</v>
      </c>
      <c r="Q17" s="104">
        <f t="shared" si="4"/>
        <v>0</v>
      </c>
      <c r="R17" s="104">
        <f t="shared" si="4"/>
        <v>0</v>
      </c>
      <c r="S17" s="100">
        <f t="shared" si="2"/>
        <v>4507454.118160127</v>
      </c>
    </row>
    <row r="18" spans="1:19" ht="12.75">
      <c r="A18" s="97">
        <v>1</v>
      </c>
      <c r="B18" s="101" t="s">
        <v>102</v>
      </c>
      <c r="C18" s="102">
        <v>49587</v>
      </c>
      <c r="D18" s="102">
        <v>21567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0">
        <f t="shared" si="2"/>
        <v>71154</v>
      </c>
    </row>
    <row r="19" spans="1:19" ht="12.75">
      <c r="A19" s="97">
        <v>2</v>
      </c>
      <c r="B19" s="101" t="s">
        <v>102</v>
      </c>
      <c r="C19" s="102">
        <f>((C5+D5+E5)*6.57*30/36500)*12</f>
        <v>74649.6</v>
      </c>
      <c r="D19" s="102">
        <f>((D5+E5)*6.57*30/36500)*12</f>
        <v>49766.399999999994</v>
      </c>
      <c r="E19" s="99">
        <f>((E5)*6.57*30/36500)*12</f>
        <v>24883.199999999997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0">
        <f t="shared" si="2"/>
        <v>149299.2</v>
      </c>
    </row>
    <row r="20" spans="1:19" ht="12.75">
      <c r="A20" s="97">
        <v>3</v>
      </c>
      <c r="B20" s="98" t="s">
        <v>103</v>
      </c>
      <c r="C20" s="102">
        <f>((C6+D6+E6)*6.57*30/36500)*12</f>
        <v>25049.5416</v>
      </c>
      <c r="D20" s="102">
        <f>((D6+E6)*6.57*30/36500)*12</f>
        <v>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0">
        <f t="shared" si="2"/>
        <v>25049.5416</v>
      </c>
    </row>
    <row r="21" spans="1:19" ht="12.75">
      <c r="A21" s="97">
        <v>4</v>
      </c>
      <c r="B21" s="101" t="s">
        <v>104</v>
      </c>
      <c r="C21" s="102">
        <f>((E7+D7)*3.15*30/36500)*12</f>
        <v>8377.654596164384</v>
      </c>
      <c r="D21" s="102">
        <f>((D7+E7)*3.15*30/36500)*12</f>
        <v>8377.654596164384</v>
      </c>
      <c r="E21" s="102">
        <f>((E7+F7)*3.15*30/36500)*12</f>
        <v>2914.5135945205484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0">
        <f t="shared" si="2"/>
        <v>19669.822786849316</v>
      </c>
    </row>
    <row r="22" spans="1:19" ht="12.75">
      <c r="A22" s="97">
        <v>5</v>
      </c>
      <c r="B22" s="101" t="s">
        <v>102</v>
      </c>
      <c r="C22" s="102">
        <v>13810</v>
      </c>
      <c r="D22" s="102"/>
      <c r="E22" s="99"/>
      <c r="F22" s="99"/>
      <c r="G22" s="99"/>
      <c r="H22" s="99"/>
      <c r="I22" s="99"/>
      <c r="J22" s="99"/>
      <c r="K22" s="99"/>
      <c r="L22" s="99"/>
      <c r="M22" s="99"/>
      <c r="N22" s="102"/>
      <c r="O22" s="102"/>
      <c r="P22" s="102"/>
      <c r="Q22" s="102"/>
      <c r="R22" s="102"/>
      <c r="S22" s="100">
        <f t="shared" si="2"/>
        <v>13810</v>
      </c>
    </row>
    <row r="23" spans="1:19" ht="12.75">
      <c r="A23" s="97">
        <v>7</v>
      </c>
      <c r="B23" s="101" t="s">
        <v>107</v>
      </c>
      <c r="C23" s="102"/>
      <c r="D23" s="102">
        <f>($S$9*5.9*130)/36500</f>
        <v>193482.54530855594</v>
      </c>
      <c r="E23" s="102">
        <f>(($S$9)*5.9)/100</f>
        <v>543239.4541355609</v>
      </c>
      <c r="F23" s="102">
        <f>(($S$9-F9)*5.9)/100</f>
        <v>497968.7916242642</v>
      </c>
      <c r="G23" s="102">
        <f>(($S$9-G9*2)*5.9)/100</f>
        <v>452698.12911296746</v>
      </c>
      <c r="H23" s="102">
        <f>(($S$9-H9*3)*5.9)/100</f>
        <v>407427.4666016708</v>
      </c>
      <c r="I23" s="99">
        <f>(($S$9-I9*4)*5.9)/100</f>
        <v>362156.80409037403</v>
      </c>
      <c r="J23" s="99">
        <f>(($S$9-J9*5)*5.9)/100</f>
        <v>316886.1415790773</v>
      </c>
      <c r="K23" s="99">
        <f>(($S$9-K9*6)*5.9)/100</f>
        <v>271615.47906778054</v>
      </c>
      <c r="L23" s="99">
        <f>(($S$9-L9*7)*5.9)/100</f>
        <v>226344.8165564838</v>
      </c>
      <c r="M23" s="99">
        <f>(($S$9-M9*8)*5.9)/100</f>
        <v>181074.15404518708</v>
      </c>
      <c r="N23" s="99">
        <f>(($S$9-N9*9)*5.9)/100</f>
        <v>135803.4915338903</v>
      </c>
      <c r="O23" s="99">
        <f>(($S$9-O9*10)*5.9)/100</f>
        <v>90532.8290225936</v>
      </c>
      <c r="P23" s="99">
        <f>(($S$9-P9*11)*5.9)/100</f>
        <v>45355.62251129686</v>
      </c>
      <c r="Q23" s="99"/>
      <c r="R23" s="99"/>
      <c r="S23" s="100">
        <f>SUM(C23:J23)</f>
        <v>2773859.3324524704</v>
      </c>
    </row>
    <row r="24" spans="1:19" ht="12.75">
      <c r="A24" s="97">
        <v>8</v>
      </c>
      <c r="B24" s="101" t="s">
        <v>108</v>
      </c>
      <c r="C24" s="102"/>
      <c r="D24" s="102"/>
      <c r="E24" s="102">
        <f>($S$11*5.9*180)/36500</f>
        <v>55304.54216161179</v>
      </c>
      <c r="F24" s="102">
        <f>(($S$11)*5.9)/100</f>
        <v>112145.32160549058</v>
      </c>
      <c r="G24" s="102">
        <f>(($S$11-G11)*5.9)/100</f>
        <v>96124.56137613478</v>
      </c>
      <c r="H24" s="102">
        <f>(($S$11-H11*2)*5.9)/100</f>
        <v>80103.80114677898</v>
      </c>
      <c r="I24" s="99">
        <f>(($S$11-I11*3)*5.9)/100</f>
        <v>64083.04091742319</v>
      </c>
      <c r="J24" s="99">
        <f>(($S$11-J11*4)*5.9)/100</f>
        <v>48062.280688067396</v>
      </c>
      <c r="K24" s="99">
        <f>(($S$11-K11*5)*5.9)/100</f>
        <v>32041.520458711595</v>
      </c>
      <c r="L24" s="99">
        <f>(($S$11-L11*6)*5.9)/100</f>
        <v>16020.760229355812</v>
      </c>
      <c r="M24" s="99"/>
      <c r="N24" s="99"/>
      <c r="O24" s="99"/>
      <c r="P24" s="99"/>
      <c r="Q24" s="99"/>
      <c r="R24" s="99"/>
      <c r="S24" s="100">
        <f>SUM(C24:J24)</f>
        <v>455823.54789550666</v>
      </c>
    </row>
    <row r="27" spans="1:19" ht="12.75">
      <c r="A27" s="94"/>
      <c r="B27" s="95"/>
      <c r="C27" s="96" t="s">
        <v>99</v>
      </c>
      <c r="D27" s="96" t="s">
        <v>100</v>
      </c>
      <c r="E27" s="96">
        <v>2011</v>
      </c>
      <c r="F27" s="96">
        <v>2012</v>
      </c>
      <c r="G27" s="96">
        <v>2013</v>
      </c>
      <c r="H27" s="96">
        <v>2014</v>
      </c>
      <c r="I27" s="96">
        <v>2015</v>
      </c>
      <c r="J27" s="96">
        <v>2016</v>
      </c>
      <c r="K27" s="96">
        <v>2017</v>
      </c>
      <c r="L27" s="96">
        <v>2018</v>
      </c>
      <c r="M27" s="96">
        <v>2019</v>
      </c>
      <c r="N27" s="96">
        <v>2020</v>
      </c>
      <c r="O27" s="96">
        <v>2021</v>
      </c>
      <c r="P27" s="96">
        <v>2022</v>
      </c>
      <c r="Q27" s="96">
        <v>2023</v>
      </c>
      <c r="R27" s="96">
        <v>2024</v>
      </c>
      <c r="S27" s="96" t="s">
        <v>71</v>
      </c>
    </row>
    <row r="28" spans="1:256" s="105" customFormat="1" ht="12.75">
      <c r="A28" s="96"/>
      <c r="B28" s="98" t="s">
        <v>112</v>
      </c>
      <c r="C28" s="104">
        <f aca="true" t="shared" si="5" ref="C28:S28">SUM(C29:C30)</f>
        <v>0</v>
      </c>
      <c r="D28" s="104">
        <f t="shared" si="5"/>
        <v>0</v>
      </c>
      <c r="E28" s="104">
        <f t="shared" si="5"/>
        <v>0</v>
      </c>
      <c r="F28" s="104">
        <f t="shared" si="5"/>
        <v>1000000</v>
      </c>
      <c r="G28" s="104">
        <f t="shared" si="5"/>
        <v>1000000</v>
      </c>
      <c r="H28" s="104">
        <f t="shared" si="5"/>
        <v>1000000</v>
      </c>
      <c r="I28" s="104">
        <f t="shared" si="5"/>
        <v>1000000</v>
      </c>
      <c r="J28" s="104">
        <f t="shared" si="5"/>
        <v>1000000</v>
      </c>
      <c r="K28" s="104">
        <f t="shared" si="5"/>
        <v>1000000</v>
      </c>
      <c r="L28" s="104">
        <f t="shared" si="5"/>
        <v>1000000</v>
      </c>
      <c r="M28" s="104">
        <f t="shared" si="5"/>
        <v>1000000</v>
      </c>
      <c r="N28" s="104">
        <f t="shared" si="5"/>
        <v>0</v>
      </c>
      <c r="O28" s="104">
        <f t="shared" si="5"/>
        <v>0</v>
      </c>
      <c r="P28" s="104">
        <f t="shared" si="5"/>
        <v>0</v>
      </c>
      <c r="Q28" s="104">
        <f t="shared" si="5"/>
        <v>0</v>
      </c>
      <c r="R28" s="104">
        <f t="shared" si="5"/>
        <v>0</v>
      </c>
      <c r="S28" s="104">
        <f t="shared" si="5"/>
        <v>8000000</v>
      </c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1:19" ht="12.75">
      <c r="A29" s="97">
        <v>1</v>
      </c>
      <c r="B29" s="101" t="s">
        <v>113</v>
      </c>
      <c r="C29" s="99"/>
      <c r="D29" s="99"/>
      <c r="E29" s="102"/>
      <c r="F29" s="102">
        <v>1000000</v>
      </c>
      <c r="G29" s="102">
        <v>1000000</v>
      </c>
      <c r="H29" s="102">
        <v>1000000</v>
      </c>
      <c r="I29" s="102">
        <v>1000000</v>
      </c>
      <c r="J29" s="102">
        <v>1000000</v>
      </c>
      <c r="K29" s="102">
        <v>1000000</v>
      </c>
      <c r="L29" s="102">
        <v>1000000</v>
      </c>
      <c r="M29" s="102">
        <v>1000000</v>
      </c>
      <c r="N29" s="102"/>
      <c r="O29" s="102"/>
      <c r="P29" s="102"/>
      <c r="Q29" s="102"/>
      <c r="R29" s="102"/>
      <c r="S29" s="100">
        <f>SUM(C29:R29)</f>
        <v>8000000</v>
      </c>
    </row>
    <row r="30" spans="1:19" ht="12.75">
      <c r="A30" s="97">
        <v>2</v>
      </c>
      <c r="B30" s="101"/>
      <c r="C30" s="99"/>
      <c r="D30" s="99"/>
      <c r="E30" s="99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0">
        <f>SUM(C30:R30)</f>
        <v>0</v>
      </c>
    </row>
    <row r="31" spans="1:19" ht="12.75">
      <c r="A31" s="97"/>
      <c r="B31" s="101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</row>
    <row r="32" spans="1:19" ht="12.75">
      <c r="A32" s="96"/>
      <c r="B32" s="98" t="s">
        <v>109</v>
      </c>
      <c r="C32" s="104">
        <f aca="true" t="shared" si="6" ref="C32:S32">C28+C34</f>
        <v>230229</v>
      </c>
      <c r="D32" s="104">
        <f t="shared" si="6"/>
        <v>459200</v>
      </c>
      <c r="E32" s="104">
        <f t="shared" si="6"/>
        <v>459200</v>
      </c>
      <c r="F32" s="104">
        <f t="shared" si="6"/>
        <v>1459200</v>
      </c>
      <c r="G32" s="104">
        <f t="shared" si="6"/>
        <v>1401800</v>
      </c>
      <c r="H32" s="104">
        <f t="shared" si="6"/>
        <v>1344400</v>
      </c>
      <c r="I32" s="104">
        <f t="shared" si="6"/>
        <v>1287000</v>
      </c>
      <c r="J32" s="104">
        <f t="shared" si="6"/>
        <v>1229600</v>
      </c>
      <c r="K32" s="104">
        <f t="shared" si="6"/>
        <v>1172200</v>
      </c>
      <c r="L32" s="104">
        <f t="shared" si="6"/>
        <v>1114800</v>
      </c>
      <c r="M32" s="104">
        <f t="shared" si="6"/>
        <v>1057400</v>
      </c>
      <c r="N32" s="104">
        <f t="shared" si="6"/>
        <v>0</v>
      </c>
      <c r="O32" s="104">
        <f t="shared" si="6"/>
        <v>0</v>
      </c>
      <c r="P32" s="104">
        <f t="shared" si="6"/>
        <v>0</v>
      </c>
      <c r="Q32" s="104">
        <f t="shared" si="6"/>
        <v>0</v>
      </c>
      <c r="R32" s="104">
        <f t="shared" si="6"/>
        <v>0</v>
      </c>
      <c r="S32" s="104">
        <f t="shared" si="6"/>
        <v>11215029</v>
      </c>
    </row>
    <row r="33" spans="1:19" ht="12.75">
      <c r="A33" s="96"/>
      <c r="B33" s="98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>
        <f>SUM(C33:J33)</f>
        <v>0</v>
      </c>
    </row>
    <row r="34" spans="1:19" ht="12.75">
      <c r="A34" s="97"/>
      <c r="B34" s="98" t="s">
        <v>110</v>
      </c>
      <c r="C34" s="104">
        <f aca="true" t="shared" si="7" ref="C34:S34">SUM(C35:C36)</f>
        <v>230229</v>
      </c>
      <c r="D34" s="104">
        <f t="shared" si="7"/>
        <v>459200</v>
      </c>
      <c r="E34" s="104">
        <f t="shared" si="7"/>
        <v>459200</v>
      </c>
      <c r="F34" s="104">
        <f t="shared" si="7"/>
        <v>459200</v>
      </c>
      <c r="G34" s="104">
        <f t="shared" si="7"/>
        <v>401800</v>
      </c>
      <c r="H34" s="104">
        <f t="shared" si="7"/>
        <v>344400</v>
      </c>
      <c r="I34" s="104">
        <f t="shared" si="7"/>
        <v>287000</v>
      </c>
      <c r="J34" s="104">
        <f t="shared" si="7"/>
        <v>229600</v>
      </c>
      <c r="K34" s="104">
        <f t="shared" si="7"/>
        <v>172200</v>
      </c>
      <c r="L34" s="104">
        <f t="shared" si="7"/>
        <v>114800</v>
      </c>
      <c r="M34" s="104">
        <f t="shared" si="7"/>
        <v>57400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4">
        <f t="shared" si="7"/>
        <v>0</v>
      </c>
      <c r="R34" s="104">
        <f t="shared" si="7"/>
        <v>0</v>
      </c>
      <c r="S34" s="104">
        <f t="shared" si="7"/>
        <v>3215029</v>
      </c>
    </row>
    <row r="35" spans="1:19" ht="12.75">
      <c r="A35" s="97">
        <v>1</v>
      </c>
      <c r="B35" s="101" t="s">
        <v>113</v>
      </c>
      <c r="C35" s="102">
        <v>230229</v>
      </c>
      <c r="D35" s="102">
        <v>459200</v>
      </c>
      <c r="E35" s="102">
        <v>459200</v>
      </c>
      <c r="F35" s="102">
        <v>459200</v>
      </c>
      <c r="G35" s="102">
        <v>401800</v>
      </c>
      <c r="H35" s="102">
        <v>344400</v>
      </c>
      <c r="I35" s="102">
        <v>287000</v>
      </c>
      <c r="J35" s="102">
        <v>229600</v>
      </c>
      <c r="K35" s="102">
        <v>172200</v>
      </c>
      <c r="L35" s="102">
        <v>114800</v>
      </c>
      <c r="M35" s="102">
        <v>57400</v>
      </c>
      <c r="N35" s="102"/>
      <c r="O35" s="102"/>
      <c r="P35" s="102"/>
      <c r="Q35" s="102"/>
      <c r="R35" s="102"/>
      <c r="S35" s="100">
        <f>SUM(C35:R35)</f>
        <v>3215029</v>
      </c>
    </row>
    <row r="36" spans="1:19" ht="12.75">
      <c r="A36" s="97">
        <v>2</v>
      </c>
      <c r="B36" s="101"/>
      <c r="C36" s="102">
        <f>((C30+D30+E30)*6.57*30/36500)*12</f>
        <v>0</v>
      </c>
      <c r="D36" s="102">
        <f>((D30+E30)*6.57*30/36500)*12</f>
        <v>0</v>
      </c>
      <c r="E36" s="99">
        <f>((E30)*6.57*30/36500)*12</f>
        <v>0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0">
        <f>SUM(C36:J36)</f>
        <v>0</v>
      </c>
    </row>
    <row r="37" spans="1:19" ht="12.75">
      <c r="A37" s="107"/>
      <c r="B37" s="108"/>
      <c r="C37" s="109"/>
      <c r="D37" s="109"/>
      <c r="E37" s="109"/>
      <c r="F37" s="109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</row>
    <row r="38" spans="1:256" s="114" customFormat="1" ht="18.75">
      <c r="A38" s="112" t="s">
        <v>114</v>
      </c>
      <c r="B38" s="112"/>
      <c r="C38" s="112"/>
      <c r="D38" s="111">
        <f aca="true" t="shared" si="8" ref="D38:R38">D3+D28</f>
        <v>908113.84</v>
      </c>
      <c r="E38" s="111">
        <f t="shared" si="8"/>
        <v>1245108.6645982498</v>
      </c>
      <c r="F38" s="113">
        <f t="shared" si="8"/>
        <v>2038837.6735703817</v>
      </c>
      <c r="G38" s="113">
        <f t="shared" si="8"/>
        <v>2038837.6735703817</v>
      </c>
      <c r="H38" s="113">
        <f t="shared" si="8"/>
        <v>2038837.6735703817</v>
      </c>
      <c r="I38" s="113">
        <f t="shared" si="8"/>
        <v>2038837.6735703817</v>
      </c>
      <c r="J38" s="113">
        <f t="shared" si="8"/>
        <v>2038837.6735703817</v>
      </c>
      <c r="K38" s="113">
        <f t="shared" si="8"/>
        <v>2038837.6735703817</v>
      </c>
      <c r="L38" s="113">
        <f t="shared" si="8"/>
        <v>2038837.6735703817</v>
      </c>
      <c r="M38" s="113">
        <f t="shared" si="8"/>
        <v>1767299.3645982496</v>
      </c>
      <c r="N38" s="113">
        <f t="shared" si="8"/>
        <v>767299.3645982497</v>
      </c>
      <c r="O38" s="113">
        <f t="shared" si="8"/>
        <v>767299.3645982497</v>
      </c>
      <c r="P38" s="113">
        <f t="shared" si="8"/>
        <v>767155.3645982497</v>
      </c>
      <c r="Q38" s="113">
        <f t="shared" si="8"/>
        <v>0</v>
      </c>
      <c r="R38" s="113">
        <f t="shared" si="8"/>
        <v>0</v>
      </c>
      <c r="S38" s="47"/>
      <c r="T38" s="105"/>
      <c r="U38" s="105"/>
      <c r="V38" s="105"/>
      <c r="W38" s="10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</row>
    <row r="39" spans="1:19" ht="12.75">
      <c r="A39" s="109"/>
      <c r="B39" s="109"/>
      <c r="C39" s="109"/>
      <c r="D39" s="109"/>
      <c r="E39" s="109"/>
      <c r="F39" s="109"/>
      <c r="G39" s="109"/>
      <c r="H39" s="109"/>
      <c r="I39" s="111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.75">
      <c r="A40" s="109"/>
      <c r="B40" s="109"/>
      <c r="C40" s="109"/>
      <c r="D40" s="110"/>
      <c r="E40" s="110"/>
      <c r="F40" s="110"/>
      <c r="G40" s="110"/>
      <c r="H40" s="110"/>
      <c r="I40" s="111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.75">
      <c r="A41" s="109"/>
      <c r="B41" s="109"/>
      <c r="C41" s="110"/>
      <c r="D41" s="110"/>
      <c r="E41" s="110"/>
      <c r="F41" s="110"/>
      <c r="G41" s="110"/>
      <c r="H41" s="110"/>
      <c r="I41" s="111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.75">
      <c r="A42" s="92"/>
      <c r="J42" s="110"/>
      <c r="K42" s="110"/>
      <c r="L42" s="110"/>
      <c r="M42" s="110"/>
      <c r="N42" s="110"/>
      <c r="O42" s="110"/>
      <c r="P42" s="110"/>
      <c r="Q42" s="110"/>
      <c r="R42" s="110"/>
      <c r="S42" s="113"/>
    </row>
    <row r="43" spans="1:19" ht="12.75">
      <c r="A43" s="92"/>
      <c r="J43" s="109"/>
      <c r="K43" s="109"/>
      <c r="L43" s="109"/>
      <c r="M43" s="109"/>
      <c r="N43" s="109"/>
      <c r="O43" s="109"/>
      <c r="P43" s="109"/>
      <c r="Q43" s="109"/>
      <c r="R43" s="109"/>
      <c r="S43" s="111"/>
    </row>
    <row r="44" spans="1:19" ht="12.75">
      <c r="A44" s="116"/>
      <c r="B44" s="116"/>
      <c r="C44" s="116"/>
      <c r="D44" s="116"/>
      <c r="E44" s="116"/>
      <c r="F44" s="116"/>
      <c r="G44" s="116"/>
      <c r="H44" s="116"/>
      <c r="I44" s="116"/>
      <c r="J44" s="109"/>
      <c r="K44" s="109"/>
      <c r="L44" s="109"/>
      <c r="M44" s="109"/>
      <c r="N44" s="109"/>
      <c r="O44" s="109"/>
      <c r="P44" s="109"/>
      <c r="Q44" s="109"/>
      <c r="R44" s="109"/>
      <c r="S44" s="111"/>
    </row>
    <row r="45" spans="1:19" ht="12.75">
      <c r="A45" s="116"/>
      <c r="B45" s="116"/>
      <c r="C45" s="116"/>
      <c r="D45" s="116"/>
      <c r="E45" s="116"/>
      <c r="F45" s="116"/>
      <c r="G45" s="116"/>
      <c r="H45" s="116"/>
      <c r="I45" s="116"/>
      <c r="J45" s="109"/>
      <c r="K45" s="109"/>
      <c r="L45" s="109"/>
      <c r="M45" s="109"/>
      <c r="N45" s="109"/>
      <c r="O45" s="109"/>
      <c r="P45" s="109"/>
      <c r="Q45" s="109"/>
      <c r="R45" s="109"/>
      <c r="S45" s="111"/>
    </row>
    <row r="46" spans="1:19" ht="12.75">
      <c r="A46" s="107"/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</row>
    <row r="47" spans="1:19" ht="12.75">
      <c r="A47" s="107"/>
      <c r="B47" s="108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</row>
    <row r="48" spans="1:19" ht="12.75">
      <c r="A48" s="107"/>
      <c r="B48" s="108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1"/>
    </row>
    <row r="49" spans="1:19" ht="12.75">
      <c r="A49" s="107"/>
      <c r="B49" s="108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/>
    </row>
    <row r="50" spans="1:19" ht="12.75">
      <c r="A50" s="116"/>
      <c r="B50" s="117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ht="12.75">
      <c r="A51" s="116"/>
      <c r="B51" s="117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1:19" ht="12.75">
      <c r="A52" s="107"/>
      <c r="B52" s="117"/>
      <c r="C52" s="113"/>
      <c r="D52" s="110"/>
      <c r="E52" s="110"/>
      <c r="F52" s="110"/>
      <c r="G52" s="110"/>
      <c r="H52" s="110"/>
      <c r="I52" s="110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ht="12.75">
      <c r="A53" s="107"/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1"/>
    </row>
    <row r="54" spans="1:19" ht="12.75">
      <c r="A54" s="107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1"/>
    </row>
    <row r="55" spans="1:19" ht="12.75">
      <c r="A55" s="107"/>
      <c r="B55" s="117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1"/>
    </row>
    <row r="56" spans="1:19" ht="12.75">
      <c r="A56" s="107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1"/>
    </row>
    <row r="57" spans="1:19" ht="12.75">
      <c r="A57" s="107"/>
      <c r="B57" s="108"/>
      <c r="C57" s="109"/>
      <c r="D57" s="109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1"/>
    </row>
    <row r="58" spans="1:19" ht="12.75">
      <c r="A58" s="107"/>
      <c r="B58" s="108"/>
      <c r="C58" s="109"/>
      <c r="D58" s="109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1"/>
    </row>
    <row r="59" spans="1:19" ht="12.75">
      <c r="A59" s="107"/>
      <c r="B59" s="108"/>
      <c r="C59" s="109"/>
      <c r="D59" s="109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1"/>
    </row>
  </sheetData>
  <sheetProtection/>
  <mergeCells count="1">
    <mergeCell ref="A1:O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9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62"/>
  <sheetViews>
    <sheetView showGridLines="0" defaultGridColor="0" view="pageBreakPreview" zoomScale="80" zoomScaleSheetLayoutView="80" zoomScalePageLayoutView="0" colorId="15" workbookViewId="0" topLeftCell="A1">
      <selection activeCell="J29" activeCellId="1" sqref="O44:T44 J29"/>
    </sheetView>
  </sheetViews>
  <sheetFormatPr defaultColWidth="9.00390625" defaultRowHeight="12.75"/>
  <cols>
    <col min="1" max="1" width="9.25390625" style="91" customWidth="1"/>
    <col min="2" max="2" width="14.00390625" style="92" customWidth="1"/>
    <col min="3" max="9" width="9.25390625" style="92" customWidth="1"/>
    <col min="10" max="13" width="8.75390625" style="92" customWidth="1"/>
    <col min="14" max="14" width="11.75390625" style="92" customWidth="1"/>
    <col min="15" max="18" width="8.75390625" style="92" customWidth="1"/>
    <col min="19" max="19" width="12.00390625" style="92" customWidth="1"/>
    <col min="20" max="20" width="9.125" style="92" customWidth="1"/>
    <col min="21" max="21" width="11.25390625" style="92" customWidth="1"/>
    <col min="22" max="245" width="9.125" style="92" customWidth="1"/>
  </cols>
  <sheetData>
    <row r="1" spans="1:19" ht="34.5" customHeight="1">
      <c r="A1" s="186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93"/>
      <c r="Q1" s="93"/>
      <c r="R1" s="93"/>
      <c r="S1" s="93"/>
    </row>
    <row r="2" spans="1:19" ht="24.75" customHeight="1">
      <c r="A2" s="94"/>
      <c r="B2" s="95"/>
      <c r="C2" s="96" t="s">
        <v>99</v>
      </c>
      <c r="D2" s="96" t="s">
        <v>100</v>
      </c>
      <c r="E2" s="96">
        <v>2011</v>
      </c>
      <c r="F2" s="96">
        <v>2012</v>
      </c>
      <c r="G2" s="96">
        <v>2013</v>
      </c>
      <c r="H2" s="96">
        <v>2014</v>
      </c>
      <c r="I2" s="96">
        <v>2015</v>
      </c>
      <c r="J2" s="96">
        <v>2016</v>
      </c>
      <c r="K2" s="96">
        <v>2017</v>
      </c>
      <c r="L2" s="96">
        <v>2018</v>
      </c>
      <c r="M2" s="96">
        <v>2019</v>
      </c>
      <c r="N2" s="96">
        <v>2020</v>
      </c>
      <c r="O2" s="96">
        <v>2021</v>
      </c>
      <c r="P2" s="96">
        <v>2022</v>
      </c>
      <c r="Q2" s="96">
        <v>2023</v>
      </c>
      <c r="R2" s="96">
        <v>2024</v>
      </c>
      <c r="S2" s="96" t="s">
        <v>71</v>
      </c>
    </row>
    <row r="3" spans="1:19" ht="12.75">
      <c r="A3" s="97"/>
      <c r="B3" s="98" t="s">
        <v>101</v>
      </c>
      <c r="C3" s="99">
        <f aca="true" t="shared" si="0" ref="C3:R3">SUM(C4:C12)</f>
        <v>1750567</v>
      </c>
      <c r="D3" s="99">
        <f t="shared" si="0"/>
        <v>1508113.8399999999</v>
      </c>
      <c r="E3" s="99">
        <f t="shared" si="0"/>
        <v>2630702.8673214614</v>
      </c>
      <c r="F3" s="99">
        <f t="shared" si="0"/>
        <v>2152893.567321461</v>
      </c>
      <c r="G3" s="99">
        <f t="shared" si="0"/>
        <v>2152893.567321461</v>
      </c>
      <c r="H3" s="99">
        <f t="shared" si="0"/>
        <v>2131893.567321461</v>
      </c>
      <c r="I3" s="99">
        <f t="shared" si="0"/>
        <v>1552893.5673214612</v>
      </c>
      <c r="J3" s="99">
        <f t="shared" si="0"/>
        <v>1251253.5673214612</v>
      </c>
      <c r="K3" s="99">
        <f t="shared" si="0"/>
        <v>1251253.5673214612</v>
      </c>
      <c r="L3" s="99">
        <f t="shared" si="0"/>
        <v>1251253.5673214612</v>
      </c>
      <c r="M3" s="99">
        <f t="shared" si="0"/>
        <v>1251253.5673214612</v>
      </c>
      <c r="N3" s="99">
        <f t="shared" si="0"/>
        <v>1251253.5673214612</v>
      </c>
      <c r="O3" s="99">
        <f t="shared" si="0"/>
        <v>1251253.5673214612</v>
      </c>
      <c r="P3" s="99">
        <f t="shared" si="0"/>
        <v>1251253.5673214612</v>
      </c>
      <c r="Q3" s="99">
        <f t="shared" si="0"/>
        <v>1251253.5673214612</v>
      </c>
      <c r="R3" s="99">
        <f t="shared" si="0"/>
        <v>0</v>
      </c>
      <c r="S3" s="100">
        <f aca="true" t="shared" si="1" ref="S3:S13">SUM(C3:R3)</f>
        <v>23889986.51517899</v>
      </c>
    </row>
    <row r="4" spans="1:19" ht="12.75">
      <c r="A4" s="97">
        <v>1</v>
      </c>
      <c r="B4" s="101" t="s">
        <v>102</v>
      </c>
      <c r="C4" s="99">
        <v>480000</v>
      </c>
      <c r="D4" s="99">
        <v>348272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0">
        <f t="shared" si="1"/>
        <v>828272</v>
      </c>
    </row>
    <row r="5" spans="1:19" ht="12.75">
      <c r="A5" s="97">
        <v>2</v>
      </c>
      <c r="B5" s="101" t="s">
        <v>102</v>
      </c>
      <c r="C5" s="99">
        <v>384000</v>
      </c>
      <c r="D5" s="99">
        <v>384000</v>
      </c>
      <c r="E5" s="99">
        <v>384000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0">
        <f t="shared" si="1"/>
        <v>1152000</v>
      </c>
    </row>
    <row r="6" spans="1:19" ht="12.75">
      <c r="A6" s="97">
        <v>3</v>
      </c>
      <c r="B6" s="98" t="s">
        <v>103</v>
      </c>
      <c r="C6" s="99">
        <v>386567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0">
        <f t="shared" si="1"/>
        <v>386567</v>
      </c>
    </row>
    <row r="7" spans="1:19" ht="12.75">
      <c r="A7" s="97">
        <v>4</v>
      </c>
      <c r="B7" s="101" t="s">
        <v>104</v>
      </c>
      <c r="C7" s="102"/>
      <c r="D7" s="102">
        <f>30398.14*4+4080*4+2914.28*4+3851.42*4+2716.62*4</f>
        <v>175841.84</v>
      </c>
      <c r="E7" s="102">
        <f>269651.14-D7</f>
        <v>93809.30000000002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0">
        <f t="shared" si="1"/>
        <v>269651.14</v>
      </c>
    </row>
    <row r="8" spans="1:19" ht="12.75">
      <c r="A8" s="97">
        <v>5</v>
      </c>
      <c r="B8" s="101" t="s">
        <v>102</v>
      </c>
      <c r="C8" s="99">
        <v>500000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>
        <f t="shared" si="1"/>
        <v>500000</v>
      </c>
    </row>
    <row r="9" spans="1:19" ht="12.75">
      <c r="A9" s="97">
        <v>6</v>
      </c>
      <c r="B9" s="101" t="s">
        <v>104</v>
      </c>
      <c r="C9" s="99"/>
      <c r="D9" s="99">
        <v>600000</v>
      </c>
      <c r="E9" s="99">
        <f>D9</f>
        <v>600000</v>
      </c>
      <c r="F9" s="99">
        <f>E9</f>
        <v>600000</v>
      </c>
      <c r="G9" s="99">
        <f>F9</f>
        <v>600000</v>
      </c>
      <c r="H9" s="99">
        <f>G9-21000</f>
        <v>579000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100">
        <f t="shared" si="1"/>
        <v>2979000</v>
      </c>
    </row>
    <row r="10" spans="1:19" ht="12.75">
      <c r="A10" s="97">
        <v>7</v>
      </c>
      <c r="B10" s="101" t="s">
        <v>105</v>
      </c>
      <c r="C10" s="99"/>
      <c r="D10" s="99"/>
      <c r="E10" s="99">
        <v>230000</v>
      </c>
      <c r="F10" s="99">
        <v>230000</v>
      </c>
      <c r="G10" s="99">
        <v>230000</v>
      </c>
      <c r="H10" s="99">
        <v>230000</v>
      </c>
      <c r="I10" s="99">
        <v>230000</v>
      </c>
      <c r="J10" s="99"/>
      <c r="K10" s="99"/>
      <c r="L10" s="99"/>
      <c r="M10" s="99"/>
      <c r="N10" s="99"/>
      <c r="O10" s="99"/>
      <c r="P10" s="99"/>
      <c r="Q10" s="99"/>
      <c r="R10" s="99"/>
      <c r="S10" s="100">
        <f t="shared" si="1"/>
        <v>1150000</v>
      </c>
    </row>
    <row r="11" spans="1:19" ht="12.75">
      <c r="A11" s="97">
        <v>8</v>
      </c>
      <c r="B11" s="101" t="s">
        <v>106</v>
      </c>
      <c r="C11" s="99"/>
      <c r="D11" s="99"/>
      <c r="E11" s="99">
        <v>71640</v>
      </c>
      <c r="F11" s="99">
        <v>71640</v>
      </c>
      <c r="G11" s="99">
        <v>71640</v>
      </c>
      <c r="H11" s="99">
        <v>71640</v>
      </c>
      <c r="I11" s="99">
        <v>71640</v>
      </c>
      <c r="J11" s="99"/>
      <c r="K11" s="99"/>
      <c r="L11" s="99"/>
      <c r="M11" s="99"/>
      <c r="N11" s="99"/>
      <c r="O11" s="99"/>
      <c r="P11" s="99"/>
      <c r="Q11" s="99"/>
      <c r="R11" s="99"/>
      <c r="S11" s="100">
        <f t="shared" si="1"/>
        <v>358200</v>
      </c>
    </row>
    <row r="12" spans="1:20" ht="12.75">
      <c r="A12" s="97">
        <v>9</v>
      </c>
      <c r="B12" s="101" t="s">
        <v>107</v>
      </c>
      <c r="C12" s="99"/>
      <c r="D12" s="99"/>
      <c r="E12" s="99">
        <f>(Prognoza_2_2!$F$16-S11)/13</f>
        <v>1251253.5673214612</v>
      </c>
      <c r="F12" s="99">
        <f>(Prognoza_2_2!$F$16-S11)/13</f>
        <v>1251253.5673214612</v>
      </c>
      <c r="G12" s="99">
        <f>(Prognoza_2_2!$F$16-$S$11)/13</f>
        <v>1251253.5673214612</v>
      </c>
      <c r="H12" s="99">
        <f>(Prognoza_2_2!$F$16-$S$11)/13</f>
        <v>1251253.5673214612</v>
      </c>
      <c r="I12" s="99">
        <f>(Prognoza_2_2!$F$16-$S$11)/13</f>
        <v>1251253.5673214612</v>
      </c>
      <c r="J12" s="99">
        <f>(Prognoza_2_2!$F$16-$S$11)/13</f>
        <v>1251253.5673214612</v>
      </c>
      <c r="K12" s="99">
        <f>(Prognoza_2_2!$F$16-$S$11)/13</f>
        <v>1251253.5673214612</v>
      </c>
      <c r="L12" s="99">
        <f>(Prognoza_2_2!$F$16-$S$11)/13</f>
        <v>1251253.5673214612</v>
      </c>
      <c r="M12" s="99">
        <f>(Prognoza_2_2!$F$16-$S$11)/13</f>
        <v>1251253.5673214612</v>
      </c>
      <c r="N12" s="99">
        <f>(Prognoza_2_2!$F$16-$S$11)/13</f>
        <v>1251253.5673214612</v>
      </c>
      <c r="O12" s="99">
        <f>(Prognoza_2_2!$F$16-$S$11)/13</f>
        <v>1251253.5673214612</v>
      </c>
      <c r="P12" s="99">
        <f>(Prognoza_2_2!$F$16-$S$11)/13</f>
        <v>1251253.5673214612</v>
      </c>
      <c r="Q12" s="99">
        <f>(Prognoza_2_2!$F$16-$S$11)/13</f>
        <v>1251253.5673214612</v>
      </c>
      <c r="R12" s="99"/>
      <c r="S12" s="100">
        <f t="shared" si="1"/>
        <v>16266296.37517899</v>
      </c>
      <c r="T12" s="103">
        <f>S11+S12</f>
        <v>16624496.37517899</v>
      </c>
    </row>
    <row r="13" spans="1:19" ht="12.75">
      <c r="A13" s="97">
        <v>10</v>
      </c>
      <c r="B13" s="101" t="s">
        <v>108</v>
      </c>
      <c r="C13" s="99"/>
      <c r="D13" s="99"/>
      <c r="E13" s="99"/>
      <c r="F13" s="99">
        <f>Prognoza_2_2!$G$16/5</f>
        <v>8945525.488105629</v>
      </c>
      <c r="G13" s="99">
        <f>Prognoza_2_2!$G$16/5</f>
        <v>8945525.488105629</v>
      </c>
      <c r="H13" s="99">
        <f>Prognoza_2_2!$G$16/5</f>
        <v>8945525.488105629</v>
      </c>
      <c r="I13" s="99">
        <f>Prognoza_2_2!$G$16/5</f>
        <v>8945525.488105629</v>
      </c>
      <c r="J13" s="99">
        <f>Prognoza_2_2!$G$16/5</f>
        <v>8945525.488105629</v>
      </c>
      <c r="K13" s="99"/>
      <c r="L13" s="99"/>
      <c r="M13" s="99"/>
      <c r="N13" s="99"/>
      <c r="O13" s="99"/>
      <c r="P13" s="99"/>
      <c r="Q13" s="99"/>
      <c r="R13" s="99"/>
      <c r="S13" s="100">
        <f t="shared" si="1"/>
        <v>44727627.44052814</v>
      </c>
    </row>
    <row r="14" spans="1:19" ht="12.75">
      <c r="A14" s="97"/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</row>
    <row r="15" spans="1:19" ht="12.75">
      <c r="A15" s="97"/>
      <c r="B15" s="101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>
        <f aca="true" t="shared" si="2" ref="S15:S26">SUM(C15:R15)</f>
        <v>0</v>
      </c>
    </row>
    <row r="16" spans="1:256" s="105" customFormat="1" ht="12.75">
      <c r="A16" s="96"/>
      <c r="B16" s="98" t="s">
        <v>109</v>
      </c>
      <c r="C16" s="104">
        <f aca="true" t="shared" si="3" ref="C16:R16">C3+C18</f>
        <v>1922040.7961961643</v>
      </c>
      <c r="D16" s="104">
        <f t="shared" si="3"/>
        <v>2046115.5444526654</v>
      </c>
      <c r="E16" s="104">
        <f t="shared" si="3"/>
        <v>3843669.6670515426</v>
      </c>
      <c r="F16" s="104">
        <f t="shared" si="3"/>
        <v>3250895.8934570216</v>
      </c>
      <c r="G16" s="104">
        <f t="shared" si="3"/>
        <v>3163729.133457022</v>
      </c>
      <c r="H16" s="104">
        <f t="shared" si="3"/>
        <v>3059216.3734570215</v>
      </c>
      <c r="I16" s="104">
        <f t="shared" si="3"/>
        <v>2529813.613457022</v>
      </c>
      <c r="J16" s="104">
        <f t="shared" si="3"/>
        <v>2210965.0534570217</v>
      </c>
      <c r="K16" s="104">
        <f t="shared" si="3"/>
        <v>2210965.0534570217</v>
      </c>
      <c r="L16" s="104">
        <f t="shared" si="3"/>
        <v>2210965.0534570217</v>
      </c>
      <c r="M16" s="104">
        <f t="shared" si="3"/>
        <v>2210965.0534570217</v>
      </c>
      <c r="N16" s="104">
        <f t="shared" si="3"/>
        <v>2210965.0534570217</v>
      </c>
      <c r="O16" s="104">
        <f t="shared" si="3"/>
        <v>2210965.0534570217</v>
      </c>
      <c r="P16" s="104">
        <f t="shared" si="3"/>
        <v>2210965.0534570217</v>
      </c>
      <c r="Q16" s="104">
        <f t="shared" si="3"/>
        <v>2210965.0534570217</v>
      </c>
      <c r="R16" s="104">
        <f t="shared" si="3"/>
        <v>0</v>
      </c>
      <c r="S16" s="100">
        <f t="shared" si="2"/>
        <v>37503201.44918463</v>
      </c>
      <c r="IL16"/>
      <c r="IM16"/>
      <c r="IN16"/>
      <c r="IO16"/>
      <c r="IP16"/>
      <c r="IQ16"/>
      <c r="IR16"/>
      <c r="IS16"/>
      <c r="IT16"/>
      <c r="IU16"/>
      <c r="IV16"/>
    </row>
    <row r="17" spans="1:19" ht="12.75">
      <c r="A17" s="96"/>
      <c r="B17" s="98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>
        <f t="shared" si="2"/>
        <v>0</v>
      </c>
    </row>
    <row r="18" spans="1:19" ht="12.75">
      <c r="A18" s="97"/>
      <c r="B18" s="98" t="s">
        <v>110</v>
      </c>
      <c r="C18" s="104">
        <f aca="true" t="shared" si="4" ref="C18:R18">SUM(C19:C27)</f>
        <v>171473.7961961644</v>
      </c>
      <c r="D18" s="104">
        <f t="shared" si="4"/>
        <v>538001.7044526654</v>
      </c>
      <c r="E18" s="104">
        <f t="shared" si="4"/>
        <v>1212966.799730081</v>
      </c>
      <c r="F18" s="104">
        <f t="shared" si="4"/>
        <v>1098002.3261355606</v>
      </c>
      <c r="G18" s="104">
        <f t="shared" si="4"/>
        <v>1010835.5661355605</v>
      </c>
      <c r="H18" s="104">
        <f t="shared" si="4"/>
        <v>927322.8061355605</v>
      </c>
      <c r="I18" s="104">
        <f t="shared" si="4"/>
        <v>976920.0461355605</v>
      </c>
      <c r="J18" s="104">
        <f t="shared" si="4"/>
        <v>959711.4861355606</v>
      </c>
      <c r="K18" s="104">
        <f t="shared" si="4"/>
        <v>959711.4861355606</v>
      </c>
      <c r="L18" s="104">
        <f t="shared" si="4"/>
        <v>959711.4861355606</v>
      </c>
      <c r="M18" s="104">
        <f t="shared" si="4"/>
        <v>959711.4861355606</v>
      </c>
      <c r="N18" s="104">
        <f t="shared" si="4"/>
        <v>959711.4861355606</v>
      </c>
      <c r="O18" s="104">
        <f t="shared" si="4"/>
        <v>959711.4861355606</v>
      </c>
      <c r="P18" s="104">
        <f t="shared" si="4"/>
        <v>959711.4861355606</v>
      </c>
      <c r="Q18" s="104">
        <f t="shared" si="4"/>
        <v>959711.4861355606</v>
      </c>
      <c r="R18" s="104">
        <f t="shared" si="4"/>
        <v>0</v>
      </c>
      <c r="S18" s="100">
        <f t="shared" si="2"/>
        <v>13613214.93400564</v>
      </c>
    </row>
    <row r="19" spans="1:19" ht="12.75">
      <c r="A19" s="97">
        <v>1</v>
      </c>
      <c r="B19" s="101" t="s">
        <v>102</v>
      </c>
      <c r="C19" s="102">
        <v>49587</v>
      </c>
      <c r="D19" s="102">
        <v>21567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0">
        <f t="shared" si="2"/>
        <v>71154</v>
      </c>
    </row>
    <row r="20" spans="1:19" ht="12.75">
      <c r="A20" s="97">
        <v>2</v>
      </c>
      <c r="B20" s="101" t="s">
        <v>102</v>
      </c>
      <c r="C20" s="102">
        <f>((C5+D5+E5)*6.57*30/36500)*12</f>
        <v>74649.6</v>
      </c>
      <c r="D20" s="102">
        <f>((D5+E5)*6.57*30/36500)*12</f>
        <v>49766.399999999994</v>
      </c>
      <c r="E20" s="99">
        <f>((E5)*6.57*30/36500)*12</f>
        <v>24883.199999999997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0">
        <f t="shared" si="2"/>
        <v>149299.2</v>
      </c>
    </row>
    <row r="21" spans="1:19" ht="12.75">
      <c r="A21" s="97">
        <v>3</v>
      </c>
      <c r="B21" s="98" t="s">
        <v>103</v>
      </c>
      <c r="C21" s="102">
        <f>((C6+D6+E6)*6.57*30/36500)*12</f>
        <v>25049.5416</v>
      </c>
      <c r="D21" s="102">
        <f>((D6+E6)*6.57*30/36500)*12</f>
        <v>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0">
        <f t="shared" si="2"/>
        <v>25049.5416</v>
      </c>
    </row>
    <row r="22" spans="1:19" ht="12.75">
      <c r="A22" s="97">
        <v>4</v>
      </c>
      <c r="B22" s="101" t="s">
        <v>104</v>
      </c>
      <c r="C22" s="102">
        <f>((E7+D7)*3.15*30/36500)*12</f>
        <v>8377.654596164384</v>
      </c>
      <c r="D22" s="102">
        <f>((D7+E7)*3.15*30/36500)*12</f>
        <v>8377.654596164384</v>
      </c>
      <c r="E22" s="102">
        <f>((E7+F7)*3.15*30/36500)*12</f>
        <v>2914.5135945205484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0">
        <f t="shared" si="2"/>
        <v>19669.822786849316</v>
      </c>
    </row>
    <row r="23" spans="1:19" ht="12.75">
      <c r="A23" s="97">
        <v>5</v>
      </c>
      <c r="B23" s="101" t="s">
        <v>102</v>
      </c>
      <c r="C23" s="102">
        <v>13810</v>
      </c>
      <c r="D23" s="102"/>
      <c r="E23" s="99"/>
      <c r="F23" s="99"/>
      <c r="G23" s="99"/>
      <c r="H23" s="99"/>
      <c r="I23" s="99"/>
      <c r="J23" s="99"/>
      <c r="K23" s="99"/>
      <c r="L23" s="99"/>
      <c r="M23" s="99"/>
      <c r="N23" s="102"/>
      <c r="O23" s="102"/>
      <c r="P23" s="102"/>
      <c r="Q23" s="102"/>
      <c r="R23" s="102"/>
      <c r="S23" s="100">
        <f t="shared" si="2"/>
        <v>13810</v>
      </c>
    </row>
    <row r="24" spans="1:19" ht="12.75">
      <c r="A24" s="97">
        <v>6</v>
      </c>
      <c r="B24" s="101" t="s">
        <v>104</v>
      </c>
      <c r="C24" s="102"/>
      <c r="D24" s="102">
        <f>S8*5.8/100</f>
        <v>29000</v>
      </c>
      <c r="E24" s="99">
        <f>($S$9-$D$9)*5.8/100</f>
        <v>137982</v>
      </c>
      <c r="F24" s="99">
        <f>($S$9-$D$9-$E$9)*5.8/100</f>
        <v>103182</v>
      </c>
      <c r="G24" s="99">
        <f>($S$9-$D$9-$E$9-$F$9)*5.8/100</f>
        <v>68382</v>
      </c>
      <c r="H24" s="99">
        <f>($S$9-$D$9-$E$9-$F$9-$G$9)*5.8/100</f>
        <v>33582</v>
      </c>
      <c r="I24" s="99">
        <f>($S$9-$D$9-$E$9-$F$9-$G$9-$H$9)*5.8/100</f>
        <v>0</v>
      </c>
      <c r="J24" s="99"/>
      <c r="K24" s="99"/>
      <c r="L24" s="99"/>
      <c r="M24" s="99"/>
      <c r="N24" s="102"/>
      <c r="O24" s="102"/>
      <c r="P24" s="102"/>
      <c r="Q24" s="102"/>
      <c r="R24" s="102"/>
      <c r="S24" s="100">
        <f t="shared" si="2"/>
        <v>372128</v>
      </c>
    </row>
    <row r="25" spans="1:19" ht="12.75">
      <c r="A25" s="97">
        <v>7</v>
      </c>
      <c r="B25" s="101" t="s">
        <v>105</v>
      </c>
      <c r="C25" s="102"/>
      <c r="D25" s="102">
        <f>$S$10*5.8%</f>
        <v>66700</v>
      </c>
      <c r="E25" s="102">
        <f>$S$10*5.8%</f>
        <v>66700</v>
      </c>
      <c r="F25" s="102">
        <f>($S$10-F9)*5.8%</f>
        <v>31899.999999999996</v>
      </c>
      <c r="G25" s="102">
        <f>($S$10-G9*2)*5.8%</f>
        <v>-2900</v>
      </c>
      <c r="H25" s="102">
        <f>($S$10-H9*3)*5.8%</f>
        <v>-34046</v>
      </c>
      <c r="I25" s="102">
        <f>($S$10-I9*4)*5.8%</f>
        <v>66700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0">
        <f t="shared" si="2"/>
        <v>195054</v>
      </c>
    </row>
    <row r="26" spans="1:19" ht="12.75">
      <c r="A26" s="97">
        <v>8</v>
      </c>
      <c r="B26" s="101" t="s">
        <v>106</v>
      </c>
      <c r="C26" s="102"/>
      <c r="D26" s="102">
        <f>$S$11*0.058</f>
        <v>20775.6</v>
      </c>
      <c r="E26" s="102">
        <f>$S$11*0.058</f>
        <v>20775.6</v>
      </c>
      <c r="F26" s="102">
        <f>($S$11-F10)*0.058</f>
        <v>7435.599999999999</v>
      </c>
      <c r="G26" s="102">
        <f>($S$11-G10*2)*0.058</f>
        <v>-5904.4</v>
      </c>
      <c r="H26" s="102">
        <f>($S$11-H10*3)*0.058</f>
        <v>-19244.399999999998</v>
      </c>
      <c r="I26" s="102">
        <f>($S$11-I10*4)*0.058</f>
        <v>-32584.399999999998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0">
        <f t="shared" si="2"/>
        <v>-8746.400000000001</v>
      </c>
    </row>
    <row r="27" spans="1:19" ht="12.75">
      <c r="A27" s="97">
        <v>9</v>
      </c>
      <c r="B27" s="101" t="s">
        <v>107</v>
      </c>
      <c r="C27" s="102"/>
      <c r="D27" s="102">
        <f>($S$12*5.9*130)/36500</f>
        <v>341815.049856501</v>
      </c>
      <c r="E27" s="102">
        <f>(($S$12)*5.9)/100</f>
        <v>959711.4861355606</v>
      </c>
      <c r="F27" s="102">
        <f>(($S$12-F11)*5.9)/100</f>
        <v>955484.7261355605</v>
      </c>
      <c r="G27" s="102">
        <f>(($S$12-G11*2)*5.9)/100</f>
        <v>951257.9661355605</v>
      </c>
      <c r="H27" s="102">
        <f>(($S$12-H11*3)*5.9)/100</f>
        <v>947031.2061355605</v>
      </c>
      <c r="I27" s="99">
        <f>(($S$12-I11*4)*5.9)/100</f>
        <v>942804.4461355605</v>
      </c>
      <c r="J27" s="99">
        <f>(($S$12-J11*5)*5.9)/100</f>
        <v>959711.4861355606</v>
      </c>
      <c r="K27" s="99">
        <f>(($S$12-K11*6)*5.9)/100</f>
        <v>959711.4861355606</v>
      </c>
      <c r="L27" s="99">
        <f>(($S$12-L11*7)*5.9)/100</f>
        <v>959711.4861355606</v>
      </c>
      <c r="M27" s="99">
        <f>(($S$12-M11*8)*5.9)/100</f>
        <v>959711.4861355606</v>
      </c>
      <c r="N27" s="99">
        <f>(($S$12-N11*9)*5.9)/100</f>
        <v>959711.4861355606</v>
      </c>
      <c r="O27" s="99">
        <f>(($S$12-O11*10)*5.9)/100</f>
        <v>959711.4861355606</v>
      </c>
      <c r="P27" s="99">
        <f>(($S$12-P11*11)*5.9)/100</f>
        <v>959711.4861355606</v>
      </c>
      <c r="Q27" s="99">
        <f>(($S$12-Q11*12)*5.9)/100</f>
        <v>959711.4861355606</v>
      </c>
      <c r="R27" s="99"/>
      <c r="S27" s="100">
        <f>SUM(C27:J27)</f>
        <v>6057816.366669865</v>
      </c>
    </row>
    <row r="28" spans="1:19" ht="12.75">
      <c r="A28" s="97">
        <v>10</v>
      </c>
      <c r="B28" s="101" t="s">
        <v>108</v>
      </c>
      <c r="C28" s="102"/>
      <c r="D28" s="102"/>
      <c r="E28" s="102">
        <f>($S$13*5.9*180)/36500</f>
        <v>1301390.1463518052</v>
      </c>
      <c r="F28" s="102">
        <f>(($S$13)*5.9)/100</f>
        <v>2638930.01899116</v>
      </c>
      <c r="G28" s="102">
        <f>(($S$13-G13)*5.9)/100</f>
        <v>2111144.0151929287</v>
      </c>
      <c r="H28" s="102">
        <f>(($S$13-H13*2)*5.9)/100</f>
        <v>1583358.0113946963</v>
      </c>
      <c r="I28" s="99">
        <f>(($S$13-I13*3)*5.9)/100</f>
        <v>1055572.007596464</v>
      </c>
      <c r="J28" s="99">
        <f>(($S$13-J13*4)*5.9)/100</f>
        <v>527786.003798232</v>
      </c>
      <c r="K28" s="99"/>
      <c r="L28" s="99"/>
      <c r="M28" s="99"/>
      <c r="N28" s="99"/>
      <c r="O28" s="99"/>
      <c r="P28" s="99"/>
      <c r="Q28" s="99"/>
      <c r="R28" s="99"/>
      <c r="S28" s="100">
        <f>SUM(C28:J28)</f>
        <v>9218180.203325287</v>
      </c>
    </row>
    <row r="30" spans="1:19" ht="12.75">
      <c r="A30" s="94"/>
      <c r="B30" s="95"/>
      <c r="C30" s="96" t="s">
        <v>99</v>
      </c>
      <c r="D30" s="96" t="s">
        <v>100</v>
      </c>
      <c r="E30" s="96">
        <v>2011</v>
      </c>
      <c r="F30" s="96">
        <v>2012</v>
      </c>
      <c r="G30" s="96">
        <v>2013</v>
      </c>
      <c r="H30" s="96">
        <v>2014</v>
      </c>
      <c r="I30" s="96">
        <v>2015</v>
      </c>
      <c r="J30" s="96">
        <v>2016</v>
      </c>
      <c r="K30" s="96">
        <v>2017</v>
      </c>
      <c r="L30" s="96">
        <v>2018</v>
      </c>
      <c r="M30" s="96">
        <v>2019</v>
      </c>
      <c r="N30" s="96">
        <v>2020</v>
      </c>
      <c r="O30" s="96">
        <v>2021</v>
      </c>
      <c r="P30" s="96">
        <v>2022</v>
      </c>
      <c r="Q30" s="96">
        <v>2023</v>
      </c>
      <c r="R30" s="96">
        <v>2024</v>
      </c>
      <c r="S30" s="96" t="s">
        <v>71</v>
      </c>
    </row>
    <row r="31" spans="1:19" ht="12.75">
      <c r="A31" s="97"/>
      <c r="B31" s="98" t="s">
        <v>112</v>
      </c>
      <c r="C31" s="99">
        <f aca="true" t="shared" si="5" ref="C31:S31">SUM(C32:C33)</f>
        <v>0</v>
      </c>
      <c r="D31" s="99">
        <f t="shared" si="5"/>
        <v>0</v>
      </c>
      <c r="E31" s="99">
        <f t="shared" si="5"/>
        <v>0</v>
      </c>
      <c r="F31" s="99">
        <f t="shared" si="5"/>
        <v>1000000</v>
      </c>
      <c r="G31" s="99">
        <f t="shared" si="5"/>
        <v>1000000</v>
      </c>
      <c r="H31" s="99">
        <f t="shared" si="5"/>
        <v>1000000</v>
      </c>
      <c r="I31" s="99">
        <f t="shared" si="5"/>
        <v>1000000</v>
      </c>
      <c r="J31" s="99">
        <f t="shared" si="5"/>
        <v>1000000</v>
      </c>
      <c r="K31" s="99">
        <f t="shared" si="5"/>
        <v>1000000</v>
      </c>
      <c r="L31" s="99">
        <f t="shared" si="5"/>
        <v>1000000</v>
      </c>
      <c r="M31" s="99">
        <f t="shared" si="5"/>
        <v>1000000</v>
      </c>
      <c r="N31" s="99">
        <f t="shared" si="5"/>
        <v>0</v>
      </c>
      <c r="O31" s="99">
        <f t="shared" si="5"/>
        <v>0</v>
      </c>
      <c r="P31" s="99">
        <f t="shared" si="5"/>
        <v>0</v>
      </c>
      <c r="Q31" s="99">
        <f t="shared" si="5"/>
        <v>0</v>
      </c>
      <c r="R31" s="99">
        <f t="shared" si="5"/>
        <v>0</v>
      </c>
      <c r="S31" s="104">
        <f t="shared" si="5"/>
        <v>8000000</v>
      </c>
    </row>
    <row r="32" spans="1:19" ht="12.75">
      <c r="A32" s="97">
        <v>1</v>
      </c>
      <c r="B32" s="101" t="s">
        <v>113</v>
      </c>
      <c r="C32" s="99"/>
      <c r="D32" s="99"/>
      <c r="E32" s="102"/>
      <c r="F32" s="102">
        <v>1000000</v>
      </c>
      <c r="G32" s="102">
        <v>1000000</v>
      </c>
      <c r="H32" s="102">
        <v>1000000</v>
      </c>
      <c r="I32" s="102">
        <v>1000000</v>
      </c>
      <c r="J32" s="102">
        <v>1000000</v>
      </c>
      <c r="K32" s="102">
        <v>1000000</v>
      </c>
      <c r="L32" s="102">
        <v>1000000</v>
      </c>
      <c r="M32" s="102">
        <v>1000000</v>
      </c>
      <c r="N32" s="102"/>
      <c r="O32" s="102"/>
      <c r="P32" s="102"/>
      <c r="Q32" s="102"/>
      <c r="R32" s="102"/>
      <c r="S32" s="100">
        <f>SUM(C32:R32)</f>
        <v>8000000</v>
      </c>
    </row>
    <row r="33" spans="1:20" ht="12.75">
      <c r="A33" s="97">
        <v>2</v>
      </c>
      <c r="B33" s="101"/>
      <c r="C33" s="99"/>
      <c r="D33" s="99"/>
      <c r="E33" s="99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0">
        <f>SUM(C33:R33)</f>
        <v>0</v>
      </c>
      <c r="T33" s="92">
        <f>S33-Prognoza!D41</f>
        <v>-3116330.44</v>
      </c>
    </row>
    <row r="34" spans="1:19" ht="12.75">
      <c r="A34" s="97"/>
      <c r="B34" s="101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0"/>
    </row>
    <row r="35" spans="1:19" ht="12.75">
      <c r="A35" s="96"/>
      <c r="B35" s="98" t="s">
        <v>109</v>
      </c>
      <c r="C35" s="104">
        <f aca="true" t="shared" si="6" ref="C35:S35">C31+C37</f>
        <v>230229</v>
      </c>
      <c r="D35" s="104">
        <f t="shared" si="6"/>
        <v>459200</v>
      </c>
      <c r="E35" s="104">
        <f t="shared" si="6"/>
        <v>459200</v>
      </c>
      <c r="F35" s="104">
        <f t="shared" si="6"/>
        <v>1459200</v>
      </c>
      <c r="G35" s="104">
        <f t="shared" si="6"/>
        <v>1401800</v>
      </c>
      <c r="H35" s="104">
        <f t="shared" si="6"/>
        <v>1344400</v>
      </c>
      <c r="I35" s="104">
        <f t="shared" si="6"/>
        <v>1287000</v>
      </c>
      <c r="J35" s="104">
        <f t="shared" si="6"/>
        <v>1229600</v>
      </c>
      <c r="K35" s="104">
        <f t="shared" si="6"/>
        <v>1172200</v>
      </c>
      <c r="L35" s="104">
        <f t="shared" si="6"/>
        <v>1114800</v>
      </c>
      <c r="M35" s="104">
        <f t="shared" si="6"/>
        <v>1057400</v>
      </c>
      <c r="N35" s="104">
        <f t="shared" si="6"/>
        <v>0</v>
      </c>
      <c r="O35" s="104">
        <f t="shared" si="6"/>
        <v>0</v>
      </c>
      <c r="P35" s="104">
        <f t="shared" si="6"/>
        <v>0</v>
      </c>
      <c r="Q35" s="104">
        <f t="shared" si="6"/>
        <v>0</v>
      </c>
      <c r="R35" s="104">
        <f t="shared" si="6"/>
        <v>0</v>
      </c>
      <c r="S35" s="104">
        <f t="shared" si="6"/>
        <v>11215029</v>
      </c>
    </row>
    <row r="36" spans="1:19" ht="12.75">
      <c r="A36" s="96"/>
      <c r="B36" s="9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>
        <f>SUM(C36:J36)</f>
        <v>0</v>
      </c>
    </row>
    <row r="37" spans="1:19" ht="12.75">
      <c r="A37" s="97"/>
      <c r="B37" s="98" t="s">
        <v>110</v>
      </c>
      <c r="C37" s="104">
        <f aca="true" t="shared" si="7" ref="C37:S37">SUM(C38:C39)</f>
        <v>230229</v>
      </c>
      <c r="D37" s="104">
        <f t="shared" si="7"/>
        <v>459200</v>
      </c>
      <c r="E37" s="104">
        <f t="shared" si="7"/>
        <v>459200</v>
      </c>
      <c r="F37" s="104">
        <f t="shared" si="7"/>
        <v>459200</v>
      </c>
      <c r="G37" s="104">
        <f t="shared" si="7"/>
        <v>401800</v>
      </c>
      <c r="H37" s="104">
        <f t="shared" si="7"/>
        <v>344400</v>
      </c>
      <c r="I37" s="104">
        <f t="shared" si="7"/>
        <v>287000</v>
      </c>
      <c r="J37" s="104">
        <f t="shared" si="7"/>
        <v>229600</v>
      </c>
      <c r="K37" s="104">
        <f t="shared" si="7"/>
        <v>172200</v>
      </c>
      <c r="L37" s="104">
        <f t="shared" si="7"/>
        <v>114800</v>
      </c>
      <c r="M37" s="104">
        <f t="shared" si="7"/>
        <v>57400</v>
      </c>
      <c r="N37" s="104">
        <f t="shared" si="7"/>
        <v>0</v>
      </c>
      <c r="O37" s="104">
        <f t="shared" si="7"/>
        <v>0</v>
      </c>
      <c r="P37" s="104">
        <f t="shared" si="7"/>
        <v>0</v>
      </c>
      <c r="Q37" s="104">
        <f t="shared" si="7"/>
        <v>0</v>
      </c>
      <c r="R37" s="104">
        <f t="shared" si="7"/>
        <v>0</v>
      </c>
      <c r="S37" s="104">
        <f t="shared" si="7"/>
        <v>3215029</v>
      </c>
    </row>
    <row r="38" spans="1:19" ht="12.75">
      <c r="A38" s="97">
        <v>1</v>
      </c>
      <c r="B38" s="101" t="s">
        <v>113</v>
      </c>
      <c r="C38" s="102">
        <v>230229</v>
      </c>
      <c r="D38" s="102">
        <v>459200</v>
      </c>
      <c r="E38" s="102">
        <v>459200</v>
      </c>
      <c r="F38" s="102">
        <v>459200</v>
      </c>
      <c r="G38" s="102">
        <v>401800</v>
      </c>
      <c r="H38" s="102">
        <v>344400</v>
      </c>
      <c r="I38" s="102">
        <v>287000</v>
      </c>
      <c r="J38" s="102">
        <v>229600</v>
      </c>
      <c r="K38" s="102">
        <v>172200</v>
      </c>
      <c r="L38" s="102">
        <v>114800</v>
      </c>
      <c r="M38" s="102">
        <v>57400</v>
      </c>
      <c r="N38" s="102"/>
      <c r="O38" s="102"/>
      <c r="P38" s="102"/>
      <c r="Q38" s="102"/>
      <c r="R38" s="102"/>
      <c r="S38" s="100">
        <f>SUM(C38:R38)</f>
        <v>3215029</v>
      </c>
    </row>
    <row r="39" spans="1:19" ht="12.75">
      <c r="A39" s="97">
        <v>2</v>
      </c>
      <c r="B39" s="101"/>
      <c r="C39" s="102">
        <f>((C33+D33+E33)*6.57*30/36500)*12</f>
        <v>0</v>
      </c>
      <c r="D39" s="102">
        <f>((D33+E33)*6.57*30/36500)*12</f>
        <v>0</v>
      </c>
      <c r="E39" s="99">
        <f>((E33)*6.57*30/36500)*12</f>
        <v>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0">
        <f>SUM(C39:J39)</f>
        <v>0</v>
      </c>
    </row>
    <row r="40" spans="1:19" ht="12.75">
      <c r="A40" s="107"/>
      <c r="B40" s="108"/>
      <c r="C40" s="109"/>
      <c r="D40" s="109"/>
      <c r="E40" s="109"/>
      <c r="F40" s="109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</row>
    <row r="41" spans="1:256" s="114" customFormat="1" ht="34.5" customHeight="1">
      <c r="A41" s="194" t="s">
        <v>194</v>
      </c>
      <c r="B41" s="194"/>
      <c r="C41" s="194"/>
      <c r="D41" s="111">
        <f aca="true" t="shared" si="8" ref="D41:R41">D3+D31</f>
        <v>1508113.8399999999</v>
      </c>
      <c r="E41" s="111">
        <f t="shared" si="8"/>
        <v>2630702.8673214614</v>
      </c>
      <c r="F41" s="113">
        <f t="shared" si="8"/>
        <v>3152893.567321461</v>
      </c>
      <c r="G41" s="113">
        <f t="shared" si="8"/>
        <v>3152893.567321461</v>
      </c>
      <c r="H41" s="113">
        <f t="shared" si="8"/>
        <v>3131893.567321461</v>
      </c>
      <c r="I41" s="113">
        <f t="shared" si="8"/>
        <v>2552893.567321461</v>
      </c>
      <c r="J41" s="113">
        <f t="shared" si="8"/>
        <v>2251253.567321461</v>
      </c>
      <c r="K41" s="113">
        <f t="shared" si="8"/>
        <v>2251253.567321461</v>
      </c>
      <c r="L41" s="113">
        <f t="shared" si="8"/>
        <v>2251253.567321461</v>
      </c>
      <c r="M41" s="113">
        <f t="shared" si="8"/>
        <v>2251253.567321461</v>
      </c>
      <c r="N41" s="113">
        <f t="shared" si="8"/>
        <v>1251253.5673214612</v>
      </c>
      <c r="O41" s="113">
        <f t="shared" si="8"/>
        <v>1251253.5673214612</v>
      </c>
      <c r="P41" s="113">
        <f t="shared" si="8"/>
        <v>1251253.5673214612</v>
      </c>
      <c r="Q41" s="113">
        <f t="shared" si="8"/>
        <v>1251253.5673214612</v>
      </c>
      <c r="R41" s="113">
        <f t="shared" si="8"/>
        <v>0</v>
      </c>
      <c r="S41" s="47"/>
      <c r="T41" s="105"/>
      <c r="U41" s="105"/>
      <c r="V41" s="105"/>
      <c r="W41" s="10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11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.75">
      <c r="A43" s="109"/>
      <c r="B43" s="109"/>
      <c r="C43" s="109"/>
      <c r="D43" s="110"/>
      <c r="E43" s="110"/>
      <c r="F43" s="110"/>
      <c r="G43" s="110"/>
      <c r="H43" s="110"/>
      <c r="I43" s="111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.75">
      <c r="A44" s="109"/>
      <c r="B44" s="109"/>
      <c r="C44" s="110"/>
      <c r="D44" s="110"/>
      <c r="E44" s="110"/>
      <c r="F44" s="110"/>
      <c r="G44" s="110"/>
      <c r="H44" s="110"/>
      <c r="I44" s="111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.75">
      <c r="A45" s="92"/>
      <c r="J45" s="110"/>
      <c r="K45" s="110"/>
      <c r="L45" s="110"/>
      <c r="M45" s="110"/>
      <c r="N45" s="110"/>
      <c r="O45" s="110"/>
      <c r="P45" s="110"/>
      <c r="Q45" s="110"/>
      <c r="R45" s="110"/>
      <c r="S45" s="113"/>
    </row>
    <row r="46" spans="1:19" ht="12.75">
      <c r="A46" s="92"/>
      <c r="J46" s="109"/>
      <c r="K46" s="109"/>
      <c r="L46" s="109"/>
      <c r="M46" s="109"/>
      <c r="N46" s="109"/>
      <c r="O46" s="109"/>
      <c r="P46" s="109"/>
      <c r="Q46" s="109"/>
      <c r="R46" s="109"/>
      <c r="S46" s="111"/>
    </row>
    <row r="47" spans="1:19" ht="12.75">
      <c r="A47" s="116"/>
      <c r="B47" s="116"/>
      <c r="C47" s="116"/>
      <c r="D47" s="116"/>
      <c r="E47" s="116"/>
      <c r="F47" s="116"/>
      <c r="G47" s="116"/>
      <c r="H47" s="116"/>
      <c r="I47" s="116"/>
      <c r="J47" s="109"/>
      <c r="K47" s="109"/>
      <c r="L47" s="109"/>
      <c r="M47" s="109"/>
      <c r="N47" s="109"/>
      <c r="O47" s="109"/>
      <c r="P47" s="109"/>
      <c r="Q47" s="109"/>
      <c r="R47" s="109"/>
      <c r="S47" s="111"/>
    </row>
    <row r="48" spans="1:19" ht="12.75">
      <c r="A48" s="116"/>
      <c r="B48" s="116"/>
      <c r="C48" s="116"/>
      <c r="D48" s="116"/>
      <c r="E48" s="116"/>
      <c r="F48" s="116"/>
      <c r="G48" s="116"/>
      <c r="H48" s="116"/>
      <c r="I48" s="116"/>
      <c r="J48" s="109"/>
      <c r="K48" s="109"/>
      <c r="L48" s="109"/>
      <c r="M48" s="109"/>
      <c r="N48" s="109"/>
      <c r="O48" s="109"/>
      <c r="P48" s="109"/>
      <c r="Q48" s="109"/>
      <c r="R48" s="109"/>
      <c r="S48" s="111"/>
    </row>
    <row r="49" spans="1:19" ht="12.75">
      <c r="A49" s="107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1"/>
    </row>
    <row r="50" spans="1:19" ht="12.75">
      <c r="A50" s="107"/>
      <c r="B50" s="10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spans="1:19" ht="12.75">
      <c r="A51" s="107"/>
      <c r="B51" s="108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1"/>
    </row>
    <row r="52" spans="1:19" ht="12.75">
      <c r="A52" s="107"/>
      <c r="B52" s="108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</row>
    <row r="53" spans="1:19" ht="12.75">
      <c r="A53" s="116"/>
      <c r="B53" s="117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ht="12.75">
      <c r="A54" s="116"/>
      <c r="B54" s="117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</row>
    <row r="55" spans="1:19" ht="12.75">
      <c r="A55" s="107"/>
      <c r="B55" s="117"/>
      <c r="C55" s="113"/>
      <c r="D55" s="110"/>
      <c r="E55" s="110"/>
      <c r="F55" s="110"/>
      <c r="G55" s="110"/>
      <c r="H55" s="110"/>
      <c r="I55" s="110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ht="12.75">
      <c r="A56" s="107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1"/>
    </row>
    <row r="57" spans="1:19" ht="12.75">
      <c r="A57" s="107"/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1"/>
    </row>
    <row r="58" spans="1:19" ht="12.75">
      <c r="A58" s="107"/>
      <c r="B58" s="117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1"/>
    </row>
    <row r="59" spans="1:19" ht="12.75">
      <c r="A59" s="107"/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1"/>
    </row>
    <row r="60" spans="1:19" ht="12.75">
      <c r="A60" s="107"/>
      <c r="B60" s="108"/>
      <c r="C60" s="109"/>
      <c r="D60" s="109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1"/>
    </row>
    <row r="61" spans="1:19" ht="12.75">
      <c r="A61" s="107"/>
      <c r="B61" s="108"/>
      <c r="C61" s="109"/>
      <c r="D61" s="109"/>
      <c r="E61" s="109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12.75">
      <c r="A62" s="107"/>
      <c r="B62" s="108"/>
      <c r="C62" s="109"/>
      <c r="D62" s="109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/>
    </row>
  </sheetData>
  <sheetProtection/>
  <mergeCells count="2">
    <mergeCell ref="A1:O1"/>
    <mergeCell ref="A41:C4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7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FUJITSU SIEMENS</cp:lastModifiedBy>
  <cp:lastPrinted>2009-11-13T11:36:11Z</cp:lastPrinted>
  <dcterms:created xsi:type="dcterms:W3CDTF">1998-12-09T13:02:10Z</dcterms:created>
  <dcterms:modified xsi:type="dcterms:W3CDTF">2009-11-15T20:56:10Z</dcterms:modified>
  <cp:category/>
  <cp:version/>
  <cp:contentType/>
  <cp:contentStatus/>
  <cp:revision>251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