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8" activeTab="12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10" sheetId="10" r:id="rId10"/>
    <sheet name="zał 11" sheetId="11" r:id="rId11"/>
    <sheet name="zał 12" sheetId="12" r:id="rId12"/>
    <sheet name="zał 13" sheetId="13" r:id="rId13"/>
    <sheet name="zał 14" sheetId="14" r:id="rId14"/>
    <sheet name="zał 15" sheetId="15" r:id="rId15"/>
    <sheet name="zał 16" sheetId="16" r:id="rId16"/>
    <sheet name="zał 17" sheetId="17" r:id="rId17"/>
    <sheet name="zał 18" sheetId="18" r:id="rId18"/>
    <sheet name="zał 19" sheetId="19" r:id="rId19"/>
    <sheet name="zał 20" sheetId="20" r:id="rId20"/>
    <sheet name="zał 21" sheetId="21" r:id="rId21"/>
    <sheet name="zał 22" sheetId="22" r:id="rId22"/>
    <sheet name="zał 23" sheetId="23" r:id="rId23"/>
    <sheet name="zał 24" sheetId="24" r:id="rId24"/>
    <sheet name="zał 25" sheetId="25" r:id="rId25"/>
    <sheet name="zał 26" sheetId="26" r:id="rId26"/>
    <sheet name="zał 27" sheetId="27" r:id="rId27"/>
    <sheet name="zał 28" sheetId="28" r:id="rId28"/>
    <sheet name="zał 29" sheetId="29" r:id="rId29"/>
  </sheets>
  <definedNames>
    <definedName name="Excel_BuiltIn_Print_Area_10_1">"$#ODWOŁANIE.$B$3:$D$13"</definedName>
    <definedName name="Excel_BuiltIn_Print_Area_11_1">"$#ODWOŁANIE.$A$3:$D$13"</definedName>
    <definedName name="Excel_BuiltIn_Print_Area_11_1_1">"$#ODWOŁANIE.$B$3:$E$6"</definedName>
    <definedName name="Excel_BuiltIn_Print_Area_11_1_1_1">"$#ODWOŁANIE.$B$3:$D$3"</definedName>
    <definedName name="Excel_BuiltIn_Print_Area_12_1">"$#ODWOŁANIE.$B$3:$D$4"</definedName>
    <definedName name="Excel_BuiltIn_Print_Area_13_1">"$#ODWOŁANIE.$B$3:$D$6"</definedName>
    <definedName name="Excel_BuiltIn_Print_Area_14_1">"$#ODWOŁANIE.$B$3:$D$13"</definedName>
    <definedName name="Excel_BuiltIn_Print_Area_17_1">"$#ODWOŁANIE.$B$3:$D$13"</definedName>
    <definedName name="Excel_BuiltIn_Print_Area_18_1">"$#ODWOŁANIE.$#ODWOŁANIE$#ODWOŁANIE:$#ODWOŁANIE$#ODWOŁANIE"</definedName>
    <definedName name="Excel_BuiltIn_Print_Area_18_1_1">"$#ODWOŁANIE.$B$3:$D$267"</definedName>
    <definedName name="Excel_BuiltIn_Print_Area_28">"$#ODWOŁANIE.$#ODWOŁANIE$#ODWOŁANIE:$#ODWOŁANIE$#ODWOŁANIE"</definedName>
    <definedName name="Excel_BuiltIn_Print_Area_3_1">'zał 2'!$A$1:$H$137</definedName>
    <definedName name="Excel_BuiltIn_Print_Area_3_1_1">"$#ODWOŁANIE.$B$3:$D$5"</definedName>
    <definedName name="Excel_BuiltIn_Print_Area_33_1">"$#ODWOŁANIE.#ODWOŁANIE#ODWOŁANIE:#ODWOŁANIE#ODWOŁANIE"</definedName>
    <definedName name="Excel_BuiltIn_Print_Area_33_1_1">"$#ODWOŁANIE.$#ODWOŁANIE$#ODWOŁANIE:$#ODWOŁANIE$#ODWOŁANIE"</definedName>
    <definedName name="Excel_BuiltIn_Print_Area_6_1">'zał 7'!$A$1:$R$347</definedName>
    <definedName name="Excel_BuiltIn_Print_Area_7_1">'zał 8'!$A$1:$R$57</definedName>
    <definedName name="Excel_BuiltIn_Print_Area_8_1">"$#ODWOŁANIE.$B$3:$D$274"</definedName>
    <definedName name="_xlnm.Print_Area" localSheetId="1">'zał 2'!$A$1:$I$137</definedName>
    <definedName name="_xlnm.Print_Area" localSheetId="6">'zał 7'!$A$1:$R$381</definedName>
    <definedName name="_xlnm.Print_Area" localSheetId="7">'zał 8'!$A$1:$R$62</definedName>
    <definedName name="_xlnm.Print_Area" localSheetId="8">'zał 9'!$A$1:$R$10</definedName>
  </definedNames>
  <calcPr fullCalcOnLoad="1"/>
</workbook>
</file>

<file path=xl/sharedStrings.xml><?xml version="1.0" encoding="utf-8"?>
<sst xmlns="http://schemas.openxmlformats.org/spreadsheetml/2006/main" count="1895" uniqueCount="537">
  <si>
    <t>Dochody budżetu Gminy na 2011 rok wg działów klasyfikacji budżetowej</t>
  </si>
  <si>
    <t>Dział</t>
  </si>
  <si>
    <t>Nazwa działu</t>
  </si>
  <si>
    <t>Plan ogółem</t>
  </si>
  <si>
    <t>Dochody bieżące</t>
  </si>
  <si>
    <t>Dochody majątkowe</t>
  </si>
  <si>
    <t>400</t>
  </si>
  <si>
    <t>600</t>
  </si>
  <si>
    <t>700</t>
  </si>
  <si>
    <t>710</t>
  </si>
  <si>
    <t>750</t>
  </si>
  <si>
    <t>751</t>
  </si>
  <si>
    <t>756</t>
  </si>
  <si>
    <t>758</t>
  </si>
  <si>
    <t>801</t>
  </si>
  <si>
    <t>852</t>
  </si>
  <si>
    <t>900</t>
  </si>
  <si>
    <t>921</t>
  </si>
  <si>
    <t>926</t>
  </si>
  <si>
    <t>Ogółem</t>
  </si>
  <si>
    <t>Dochody własne budżetu Gminy Barlinek w 2011 r.</t>
  </si>
  <si>
    <t>Rozdział</t>
  </si>
  <si>
    <t>§</t>
  </si>
  <si>
    <t>Źródła dochodów</t>
  </si>
  <si>
    <t xml:space="preserve">Plan </t>
  </si>
  <si>
    <t>z tego:</t>
  </si>
  <si>
    <t>wydatki na programy finansowane z udziałem środków, o których mowa w art.5 ust.1 pkt 2 i 3</t>
  </si>
  <si>
    <t>020</t>
  </si>
  <si>
    <t>Leśnictwo</t>
  </si>
  <si>
    <t>02095</t>
  </si>
  <si>
    <t>Pozostała działalność</t>
  </si>
  <si>
    <t>0750</t>
  </si>
  <si>
    <r>
      <t xml:space="preserve"> Dochody z najmu i dzierżawy składników majątkowych Skarbu Państwa,  j.s.t.  </t>
    </r>
    <r>
      <rPr>
        <sz val="12"/>
        <color indexed="8"/>
        <rFont val="Times New Roman"/>
        <family val="1"/>
      </rPr>
      <t xml:space="preserve"> lub innych jednostek zaliczanych do sektora finansów publicznych oraz innych umów o podobnym charakterze</t>
    </r>
  </si>
  <si>
    <t xml:space="preserve">Wytwarzanie i zaopatrzenie w energię elektryczną, gaz i wodę </t>
  </si>
  <si>
    <t>Dostarczanie wody</t>
  </si>
  <si>
    <t xml:space="preserve">Dotacje celowe w ramach programów finansowanych z udziałem środków europejskich oraz środków, o których mowa w art. 5 ust. 1 pkt 3 oraz ust. 3 pkt 5 i 6 ustawy, lub płatności w ramach budżetu środków europejskich
</t>
  </si>
  <si>
    <t>Transport  i  łączność</t>
  </si>
  <si>
    <t>Drogi publiczne gminne</t>
  </si>
  <si>
    <t>6207</t>
  </si>
  <si>
    <t>6330</t>
  </si>
  <si>
    <t>Dotacje celowe otrzymane z budżetu państwa na realizację inwestycji i zakupów inwestycyjnych własnych gmin /związków gmin/</t>
  </si>
  <si>
    <r>
      <t>Gospodarka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mieszkaniowa</t>
    </r>
  </si>
  <si>
    <t>Gospodarka gruntami i nieruchomościami</t>
  </si>
  <si>
    <t>0470</t>
  </si>
  <si>
    <t xml:space="preserve"> Wpływy z opłat za zarząd, użytkowanie i użytkowanie wieczyste nieruchomości</t>
  </si>
  <si>
    <t>0690</t>
  </si>
  <si>
    <t xml:space="preserve"> Wpływy z różnych opłat</t>
  </si>
  <si>
    <t xml:space="preserve">Dochody z najmu i dzierżawy składników majątkowych Skarbu Państwa,  j.s.t lub innych jednostek zaliczanych do sektora finansów publicznych oraz innych umów o podobnym charakterze </t>
  </si>
  <si>
    <t>0760</t>
  </si>
  <si>
    <t xml:space="preserve"> 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</si>
  <si>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</si>
  <si>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</si>
  <si>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 xml:space="preserve">0920 </t>
  </si>
  <si>
    <t xml:space="preserve"> Pozostałe odsetki</t>
  </si>
  <si>
    <t xml:space="preserve">Działalność usługowa </t>
  </si>
  <si>
    <t>Cmentarze</t>
  </si>
  <si>
    <t>Administracja  publiczna</t>
  </si>
  <si>
    <t>Urzędy gmin (miast i miast na prawach powiatu)</t>
  </si>
  <si>
    <t>0570</t>
  </si>
  <si>
    <t xml:space="preserve">  Grzywny, mandaty i inne kary pieniężne od osób fizycznych  </t>
  </si>
  <si>
    <t xml:space="preserve">0830 </t>
  </si>
  <si>
    <t xml:space="preserve"> Wpływy z usług</t>
  </si>
  <si>
    <r>
      <t xml:space="preserve">
</t>
    </r>
    <r>
      <rPr>
        <b/>
        <sz val="12"/>
        <rFont val="Times New Roman"/>
        <family val="1"/>
      </rPr>
      <t>756</t>
    </r>
  </si>
  <si>
    <t xml:space="preserve">Dochody  od  osób  prawnych, od osób  fizycznych i  od  innych  jednostek  nieposiadających  osobowości  prawnej  oraz  wydatki  związane  z  ich  poborem   </t>
  </si>
  <si>
    <t>Wpływy z podatku dochodowego od osób fizycznych</t>
  </si>
  <si>
    <t>0350</t>
  </si>
  <si>
    <t xml:space="preserve"> Podatek od działalności gospodarczej osób fizycznych,  opłacany 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</si>
  <si>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</si>
  <si>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</si>
  <si>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</si>
  <si>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</si>
  <si>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 xml:space="preserve"> Podatek od nieruchomości</t>
  </si>
  <si>
    <t>0320</t>
  </si>
  <si>
    <t xml:space="preserve"> Podatek rolny</t>
  </si>
  <si>
    <t>0330</t>
  </si>
  <si>
    <t xml:space="preserve"> Podatek leśny </t>
  </si>
  <si>
    <t>0340</t>
  </si>
  <si>
    <t xml:space="preserve"> Podatek od środków transportowych</t>
  </si>
  <si>
    <t>0500</t>
  </si>
  <si>
    <t xml:space="preserve"> Podatek od czynności cywilnoprawnych</t>
  </si>
  <si>
    <t xml:space="preserve"> Odsetki od nieterminowych wpłat z tytułu podatków i opłat</t>
  </si>
  <si>
    <t xml:space="preserve"> Rekompensaty utraconych dochodów w podatkach i opłatach lokalnych</t>
  </si>
  <si>
    <t xml:space="preserve">Wpływy z podatku rolnego, podatku leśnego, podatku od spadków i darowizn, podatku od czynności cywilnoprawnych oraz podatków i opłat lokalnych od osób fizycznych </t>
  </si>
  <si>
    <t xml:space="preserve"> Podatek leśny</t>
  </si>
  <si>
    <t>0360</t>
  </si>
  <si>
    <t xml:space="preserve"> Podatek od spadków i darowizn</t>
  </si>
  <si>
    <t>0370</t>
  </si>
  <si>
    <t xml:space="preserve"> Opłata od posiadania psów</t>
  </si>
  <si>
    <t>0430</t>
  </si>
  <si>
    <t xml:space="preserve">Wpływy z opłaty targowej </t>
  </si>
  <si>
    <t>Wpływy z różnych opłat</t>
  </si>
  <si>
    <t xml:space="preserve">Wpływy z innych opłat stanowiących dochody j.s.t. na podstawie ustaw </t>
  </si>
  <si>
    <t>0410</t>
  </si>
  <si>
    <t xml:space="preserve"> Wpływy z opłaty skarbowej</t>
  </si>
  <si>
    <t>0480</t>
  </si>
  <si>
    <t xml:space="preserve"> Wpływy z opłat za zezwolenia na sprzedaż alkoholu</t>
  </si>
  <si>
    <t>0490</t>
  </si>
  <si>
    <t xml:space="preserve"> Wpływy z innych lokalnych opłat pobieranych przez j.s.t. na podstawie odrębnych ustaw</t>
  </si>
  <si>
    <t xml:space="preserve"> Wpływy z różnych opłat </t>
  </si>
  <si>
    <t>Wpływy z różnych rozliczeń</t>
  </si>
  <si>
    <t>0970</t>
  </si>
  <si>
    <t xml:space="preserve"> Wpływy z różnych dochodów </t>
  </si>
  <si>
    <t>Udziały gmin w podatkach stanowiących dochód budżetu państwa</t>
  </si>
  <si>
    <t>0010</t>
  </si>
  <si>
    <t xml:space="preserve"> Podatek dochodowy od osób fizycznych</t>
  </si>
  <si>
    <t>0020</t>
  </si>
  <si>
    <t xml:space="preserve"> Podatek dochodowy od osób prawnych</t>
  </si>
  <si>
    <t>Dywidendy</t>
  </si>
  <si>
    <t>0740</t>
  </si>
  <si>
    <t xml:space="preserve">Wpływy z dywidend </t>
  </si>
  <si>
    <t>Różne  rozliczenia</t>
  </si>
  <si>
    <t>Część oświatowa subwencji ogólnej dla j.s.t.</t>
  </si>
  <si>
    <t xml:space="preserve"> Subwencje ogólne z budżetu państwa</t>
  </si>
  <si>
    <t>Część wyrównawcza subwencji ogólnej dla gmin</t>
  </si>
  <si>
    <t>Część równoważąca subwencji ogólnej  dla gmin</t>
  </si>
  <si>
    <t>Oświata  i  wychowanie</t>
  </si>
  <si>
    <t>Szkoły podstawowe</t>
  </si>
  <si>
    <t>Wpływy z rożnych opłat</t>
  </si>
  <si>
    <t>0960</t>
  </si>
  <si>
    <t>Otrzymane spadki darowizny w postaci pieniężnej</t>
  </si>
  <si>
    <t>80104</t>
  </si>
  <si>
    <t>Przedszkola</t>
  </si>
  <si>
    <t xml:space="preserve">Dochody z najmu i dzierżawy składników majątkowych Skarbu Państwa, j.s.t. lub innych jednostek zaliczanych do sektora finansów publicznych oraz innych umów o podobnym charakterze  </t>
  </si>
  <si>
    <t>2310</t>
  </si>
  <si>
    <t>Dotacje celowe otrzymane z gminy na zadanie bieżące realizowane na podstawie porozumień ( umów) między jednostkami samorządu terytorialnego</t>
  </si>
  <si>
    <t>Gimnazja</t>
  </si>
  <si>
    <t xml:space="preserve"> Wpływy z różnych dochodów</t>
  </si>
  <si>
    <t>Stołówki szkolne</t>
  </si>
  <si>
    <t>2007</t>
  </si>
  <si>
    <t>2009</t>
  </si>
  <si>
    <t>Pomoc  społeczna</t>
  </si>
  <si>
    <t>Świadczenia rodzinne, zaliczka alimentacyjna oraz składki na ubezpieczenia emerytalne rentowe z ubezpieczenia społeczne</t>
  </si>
  <si>
    <t xml:space="preserve"> Dochody jednostek samorządu terytorialnego związane z realizacją zadań z zakresu administracji rządowej oraz innych zadań zleconych ustawami</t>
  </si>
  <si>
    <t>Składki na ubezpieczenie zdrowotne opłacane za osoby pobierające niektóre świadczenia z pomocy społecznej oraz niektóre świadczenia rodzinne</t>
  </si>
  <si>
    <t>Dotacje celowe otrzymane z budżetu państwa na realizację własnych zadań bieżących gmin</t>
  </si>
  <si>
    <t>Zasiłki i pomoc w naturze oraz składki na ubezpieczenia emerytalne i rentowe</t>
  </si>
  <si>
    <t>Zasiłki stałe</t>
  </si>
  <si>
    <t>Ośrodki Pomocy Społecznej</t>
  </si>
  <si>
    <t xml:space="preserve">Dotacje celowe otrzymane z budżetu państwa na realizację własnych zadań bieżących gmin </t>
  </si>
  <si>
    <t xml:space="preserve">85228
</t>
  </si>
  <si>
    <t>Usługi opiekuńcze i specjalistyczne usługi opiekuńcze</t>
  </si>
  <si>
    <t xml:space="preserve">  Wpływy z usług</t>
  </si>
  <si>
    <t>85295</t>
  </si>
  <si>
    <t>2030</t>
  </si>
  <si>
    <t>853</t>
  </si>
  <si>
    <t>Pozostałe zadania z zakresu polityki społecznej</t>
  </si>
  <si>
    <t>85395</t>
  </si>
  <si>
    <t>Gospodarka komunalna i ochrona  środowiska</t>
  </si>
  <si>
    <t>90019</t>
  </si>
  <si>
    <t>Wpływy i wydatki związane z gromadzeniem środków z opłat i kar za korzystanie ze środowiska</t>
  </si>
  <si>
    <t>Grzywny, mandaty i inne kary pieniężne od osób fizycznych</t>
  </si>
  <si>
    <t>Wpływy i wydatki związane z gromadzeniem środków z opłat produktowych</t>
  </si>
  <si>
    <t xml:space="preserve">
</t>
  </si>
  <si>
    <t xml:space="preserve">0400
</t>
  </si>
  <si>
    <t xml:space="preserve"> Wpływy z opłaty produktowej
</t>
  </si>
  <si>
    <t xml:space="preserve">Kultura  i  ochrona  dziedzictwa  narodowego </t>
  </si>
  <si>
    <t>Domy i ośrodki kultury, świetlice i kluby</t>
  </si>
  <si>
    <t>Wpływy z usług</t>
  </si>
  <si>
    <t>Kultura fizyczna</t>
  </si>
  <si>
    <t>Obiekty sportowe</t>
  </si>
  <si>
    <t>Zadania w zakresie kultury fizycznej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</si>
  <si>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</si>
  <si>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</si>
  <si>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Ogółem:</t>
  </si>
  <si>
    <t>Dochody budżetu Gminy Barlinek związane z realizacją zadań z zakresu administracji rządowej i innych zadań zleconych odrębnymi ustawami w 2011 r.</t>
  </si>
  <si>
    <t>Urzędy Wojewódzkie</t>
  </si>
  <si>
    <t xml:space="preserve"> Dotacje celowe otrzymane z budżetu państwa na realizację zadań bieżących z zakresu administracji rządowej oraz innych zadań zleconych gminie ustawami</t>
  </si>
  <si>
    <t xml:space="preserve">Urzędy naczelnych organów władzy 
państwowej, kontroli i ochrony prawa oraz sądownictwa  </t>
  </si>
  <si>
    <t xml:space="preserve">Urzędy naczelnych organów władzy państwowej, kontroli i ochrony prawa </t>
  </si>
  <si>
    <t>Pomoc społeczna</t>
  </si>
  <si>
    <t>Ośrodki Wsparcia</t>
  </si>
  <si>
    <t xml:space="preserve">Świadczenia rodzinne, zaliczka alimentacyjna, oraz składki na ubezpieczenia emerytalne i rentowe z ubezpieczenia społecznego </t>
  </si>
  <si>
    <t xml:space="preserve">
</t>
  </si>
  <si>
    <t>Dochody 
budżetu Gminy Barlinek związane z realizacją zadań z zakresu administracji rządowej wykonywanych na podstawie porozumień z organami administracji rządowej w 2011 r.</t>
  </si>
  <si>
    <t xml:space="preserve"> Dotacje celowe otrzymane z budżetu państwa na zadania  bieżące realizowane przez gminę na podstawie porozumień z organami administracji rządowej</t>
  </si>
  <si>
    <t>Dochody
budżetu Gminy Barlinek w 2011 r. (Środki Unijne)</t>
  </si>
  <si>
    <t>Wydatki budżetu Gminy na 2011 rok wg działów klasyfikacji budżetowej</t>
  </si>
  <si>
    <t>Wydatki bieżące</t>
  </si>
  <si>
    <t>Wydatki majątkowe</t>
  </si>
  <si>
    <t>010</t>
  </si>
  <si>
    <t>754</t>
  </si>
  <si>
    <t>757</t>
  </si>
  <si>
    <t>803</t>
  </si>
  <si>
    <t>851</t>
  </si>
  <si>
    <t>854</t>
  </si>
  <si>
    <t>Wydatki własne budżetu Gminy Barlinek w 2011 r.</t>
  </si>
  <si>
    <t>Nazwa paragrafu</t>
  </si>
  <si>
    <t>Plan</t>
  </si>
  <si>
    <t>z tego</t>
  </si>
  <si>
    <t>wydatki majątkowe</t>
  </si>
  <si>
    <t>Wydatki jednostek budżetowych</t>
  </si>
  <si>
    <t>w tym:</t>
  </si>
  <si>
    <t>Dotacje na zadania bieżące</t>
  </si>
  <si>
    <t>świadczenia na rzecz osób fizycznych</t>
  </si>
  <si>
    <t>Wydatki z tytułu poręczeń i gwarancji</t>
  </si>
  <si>
    <t>Obsługa długu</t>
  </si>
  <si>
    <t>inwestycje i zakupy inwestycyjne</t>
  </si>
  <si>
    <t>zakup i objęcie akcji i udziałów oraz wniesienie wkładów do spółek prawa handlowego</t>
  </si>
  <si>
    <t>Wynagrodzenia i składki od nich naliczane</t>
  </si>
  <si>
    <t>wydatki związane z realizacją ich zadań statutowych</t>
  </si>
  <si>
    <t>wydatki na programy finansowane z udziałem środków, o których mowa w art.5 ust.1 pkt 2i3</t>
  </si>
  <si>
    <t>Rolnictwo i łowiectwo</t>
  </si>
  <si>
    <t>01030</t>
  </si>
  <si>
    <t>Izby rolnicze</t>
  </si>
  <si>
    <t>Wpłaty gmin na rzecz izb rolniczych w wysokości 2% uzyskanych wpływów z podatku rolnego</t>
  </si>
  <si>
    <t xml:space="preserve"> Zakup usług pozostałych</t>
  </si>
  <si>
    <t xml:space="preserve"> Wydatki inwestycyjne jednostek budżetowych </t>
  </si>
  <si>
    <t>Drogi publiczne wojewódzkie</t>
  </si>
  <si>
    <t>Dotacje celowe przekazane do samorządu województwa na inwestycje i zakupy inwestycyjne realizowane na podstawie porozumień (umów) między jednostkami samorządu terytorialnego</t>
  </si>
  <si>
    <t xml:space="preserve"> Zakup materiałów i wyposażenia</t>
  </si>
  <si>
    <t xml:space="preserve"> Zakup usług remontowych </t>
  </si>
  <si>
    <t>Dotacje celowe przekazane do samorządu powiatu na inwestycje i zakupy inwestycyjne realizowane na podstawie porozumień (umów) między jednostkami samorządu terytorialnego</t>
  </si>
  <si>
    <t xml:space="preserve"> Zakup usług remontowych</t>
  </si>
  <si>
    <t>Gospodarka  mieszkaniowa</t>
  </si>
  <si>
    <t xml:space="preserve"> Różne opłaty i składki</t>
  </si>
  <si>
    <t>Wypłaty z tytułu gwarancji i poręczeń</t>
  </si>
  <si>
    <t>Towarzystwa Budownictwa Społecznego</t>
  </si>
  <si>
    <t>Działalność  usługowa</t>
  </si>
  <si>
    <t>Plany zagospodarowania przestrzennego</t>
  </si>
  <si>
    <t>Prace geodezyjne i kartograficzne</t>
  </si>
  <si>
    <t>Rady gmin (miast i miast na prawach powiatu)</t>
  </si>
  <si>
    <t xml:space="preserve"> Różne wydatki na rzecz osób fizycznych</t>
  </si>
  <si>
    <t xml:space="preserve"> Zakup materiałów i wyposażenia </t>
  </si>
  <si>
    <t xml:space="preserve"> Wydatki osobowe niezaliczone do wynagrodzeń 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</si>
  <si>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</si>
  <si>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</si>
  <si>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</si>
  <si>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</si>
  <si>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>Wpłaty na PEFRON</t>
  </si>
  <si>
    <t xml:space="preserve"> Wynagrodzenia bezosobowe</t>
  </si>
  <si>
    <t xml:space="preserve"> Zakup energii </t>
  </si>
  <si>
    <t>Zakup usług remontowych</t>
  </si>
  <si>
    <t xml:space="preserve"> Zakup usług zdrowotnych </t>
  </si>
  <si>
    <t xml:space="preserve"> Zakup usług pozostałych </t>
  </si>
  <si>
    <t xml:space="preserve"> Zakup usług dostępu do sieci Internet</t>
  </si>
  <si>
    <t xml:space="preserve"> Opłaty z tytułu zakupu usług telekomunikacyjnych telefonii komórkowej</t>
  </si>
  <si>
    <t xml:space="preserve">Opłaty z tytułu zakupu usług telekomunikacyjnych telefonii stacjonarnej  </t>
  </si>
  <si>
    <t xml:space="preserve"> Zakup usług obejmujących tłumaczenia</t>
  </si>
  <si>
    <t xml:space="preserve"> Podróże służbowe krajowe</t>
  </si>
  <si>
    <t xml:space="preserve"> Podróże służbowe zagraniczne</t>
  </si>
  <si>
    <t>Odpisy na zakładowy fundusz świadczeń socjalnych</t>
  </si>
  <si>
    <t xml:space="preserve"> Koszty postępowania sądowego i prokuratorskiego</t>
  </si>
  <si>
    <t xml:space="preserve"> Szkolenia pracowników nie będących członkami korpusu służby cywilnej</t>
  </si>
  <si>
    <t xml:space="preserve">Promocja jednostek samorządu terytorialnego </t>
  </si>
  <si>
    <t>Różne wydatki na rzecz osób fizycznych</t>
  </si>
  <si>
    <t xml:space="preserve">
754</t>
  </si>
  <si>
    <t>Bezpieczeństwo publiczne  
i  ochrona  przeciwpożarowa</t>
  </si>
  <si>
    <t>Ochotnicze Straże Pożarne</t>
  </si>
  <si>
    <t xml:space="preserve"> Wydatki osobowe nie zaliczone do wynagrodzeń </t>
  </si>
  <si>
    <t>Zarządzanie kryzysowe</t>
  </si>
  <si>
    <t xml:space="preserve"> Rezerwy</t>
  </si>
  <si>
    <t xml:space="preserve">Dochody od osób prawnych,od osób fizycznych
i od innych jednostek nie posiadających
osobowości prawnej oraz wydatki związane
z ich poborem </t>
  </si>
  <si>
    <t xml:space="preserve">Pobór podatków, opłat i niepodatkowych należności budżetowych </t>
  </si>
  <si>
    <t>Wynagrodzenia agencyjno – prowizyjne</t>
  </si>
  <si>
    <t>Obsługa  długu  publicznego</t>
  </si>
  <si>
    <t>Obsługa papierów wartościowych, kredytów i pożyczek j.s.t.</t>
  </si>
  <si>
    <t>Rozliczenia z bankami związane z obsługą długu publicznego</t>
  </si>
  <si>
    <t>Odsetki od samorządowych papierów wartościowych</t>
  </si>
  <si>
    <t xml:space="preserve">Różne rozliczenia finansowe </t>
  </si>
  <si>
    <t xml:space="preserve">4530
</t>
  </si>
  <si>
    <t xml:space="preserve"> Podatek od towarów i usług (VAT) 
</t>
  </si>
  <si>
    <t>Rezerwy ogólne i celowe</t>
  </si>
  <si>
    <t>Rezerwy</t>
  </si>
  <si>
    <t xml:space="preserve"> Wydatki osobowe niezaliczone do wynagrodzeń</t>
  </si>
  <si>
    <t xml:space="preserve"> Zasądzone renty</t>
  </si>
  <si>
    <t>Wynagrodzenia osobowe pracowników</t>
  </si>
  <si>
    <t xml:space="preserve"> Zakup pomocy naukowych, dydaktycznych i książek</t>
  </si>
  <si>
    <t xml:space="preserve"> Zakup energii</t>
  </si>
  <si>
    <t xml:space="preserve"> Zakup usług zdrowotnych</t>
  </si>
  <si>
    <t xml:space="preserve"> Opłata z tytułu zakupu usług telekomunikacyjnych telefonii stacjonarnej</t>
  </si>
  <si>
    <t xml:space="preserve"> Różne opłaty i składki </t>
  </si>
  <si>
    <t xml:space="preserve"> Odpisy na zakładowy fundusz świadczeń socjalnych</t>
  </si>
  <si>
    <t>Podatek od nieruchomości</t>
  </si>
  <si>
    <t xml:space="preserve"> Wydatki inwestycyjne jednostek budżetowych</t>
  </si>
  <si>
    <t>Oddziały przedszkolne w szkołach podstawowych</t>
  </si>
  <si>
    <t xml:space="preserve"> Wynagrodzenia osobowe pracowników </t>
  </si>
  <si>
    <t>Zakup materiałów i wyposażenia</t>
  </si>
  <si>
    <t>Zakup pomocy naukowych, dydaktycznych i książek</t>
  </si>
  <si>
    <t>Zakup usług zdrowotnych</t>
  </si>
  <si>
    <t>Odpisy na Zakładowy Fundusz Świadczeń Socjalnych</t>
  </si>
  <si>
    <t xml:space="preserve">Przedszkola </t>
  </si>
  <si>
    <t xml:space="preserve"> Dotacja podmiotowa z budżetu dla niepublicznej jednostki systemu oświaty</t>
  </si>
  <si>
    <t>Wydatki osobowe niezaliczone do wynagrodzeń</t>
  </si>
  <si>
    <t>Dodatkowe wynagrodzenie roczne</t>
  </si>
  <si>
    <t>Składki na ubezpieczenia społeczne</t>
  </si>
  <si>
    <t>Składki na Fundusz Pracy</t>
  </si>
  <si>
    <t>Zakup energii</t>
  </si>
  <si>
    <t>Zakup usług pozostałych</t>
  </si>
  <si>
    <t>Zakup usług dostępu do sieci Internet</t>
  </si>
  <si>
    <t>Opłaty z tytułu zakupu usług telekom. telefonii stacjonarnej</t>
  </si>
  <si>
    <t>Podróże służbowe krajowe</t>
  </si>
  <si>
    <t>Różne opłaty i składki</t>
  </si>
  <si>
    <t>Szkolenia pracowników nie będących członkami korpusu służby cywilnej</t>
  </si>
  <si>
    <t xml:space="preserve"> Wydatki osobowe nie zaliczone do wynagrodzeń</t>
  </si>
  <si>
    <t>Stypendia dla uczniów</t>
  </si>
  <si>
    <t xml:space="preserve"> Dowożenie uczniów do szkół</t>
  </si>
  <si>
    <t xml:space="preserve"> Wydatki osobowe niezaliczane do wynagrodzeń </t>
  </si>
  <si>
    <t xml:space="preserve"> Opłata z tytułu usług telekomunikacyjnych telefonii komórkowej</t>
  </si>
  <si>
    <t>Podatek na rzecz jednostek budżetowych</t>
  </si>
  <si>
    <t>Dokształcanie i doskonalenie nauczycieli</t>
  </si>
  <si>
    <t xml:space="preserve">Zakup materiałów i wyposażenia </t>
  </si>
  <si>
    <t xml:space="preserve"> Zakup środków żywności</t>
  </si>
  <si>
    <t>Dotacja celowa z budżetu na finansowanie lub dofinansowanie zadań zleconych do realizacji stowarzyszeniom</t>
  </si>
  <si>
    <t>Wynagrodzenia bezosobowe</t>
  </si>
  <si>
    <t>Szkolnictwo wyższe</t>
  </si>
  <si>
    <t>Ochrona  zdrowia</t>
  </si>
  <si>
    <t>Szpitale ogólne</t>
  </si>
  <si>
    <t xml:space="preserve">Zwalczanie narkomanii </t>
  </si>
  <si>
    <t>Dotacja celowa z budżetu na finansowanie lub dofinansowanie zadań zleconych  do realizacji stowarzyszeniom</t>
  </si>
  <si>
    <t>Przeciwdziałanie alkoholizmowi</t>
  </si>
  <si>
    <t>Dotacje celowe przekazane gminie na zadania bieżące realizowane na podstawie porozumień między j.s.t.</t>
  </si>
  <si>
    <t>Dotacja celowa z budżetu na finansowanie lub dofinansowanie zadań zleconych do realizacji pozostałym jednostkom niezaliczanym do sektora finansów publicznych</t>
  </si>
  <si>
    <t xml:space="preserve"> Szkolenia pracowników niebędących członkami korpusu służby cywilnej</t>
  </si>
  <si>
    <t>Składki na ubezpieczenie zdrowotne opłacane za  osoby pobierające  świadczenia z pomocy  społecznej oraz niektóre świadczenia rodzinne</t>
  </si>
  <si>
    <t xml:space="preserve"> Składki na ubezpieczenie zdrowotne</t>
  </si>
  <si>
    <t xml:space="preserve">Zasiłki i pomoc w naturze oraz składki na ubezpieczenia emerytalne i rentowe  </t>
  </si>
  <si>
    <t xml:space="preserve"> Świadczenia społeczne</t>
  </si>
  <si>
    <t xml:space="preserve"> Zakup usług przez j.s.t. od innych j.s.t.</t>
  </si>
  <si>
    <t>Dodatki mieszkaniowe</t>
  </si>
  <si>
    <t xml:space="preserve"> Świadczenia społeczne </t>
  </si>
  <si>
    <t xml:space="preserve">Ośrodki Pomocy Społecznej </t>
  </si>
  <si>
    <t xml:space="preserve"> Wynagrodzenia bezosobowe </t>
  </si>
  <si>
    <t xml:space="preserve"> Opłaty z tytułu zakupu usług telekomunikacyjnych telefonii komórkowej </t>
  </si>
  <si>
    <t xml:space="preserve"> Opłaty z tytułu zakupu usług telekomunikacyjnych telefonii stacjonarnej  </t>
  </si>
  <si>
    <t xml:space="preserve">Dotacja celowa z budżetu na finansowanie lub dofinansowanie zadań  zleconych do realizacji stowarzyszeniom  </t>
  </si>
  <si>
    <t>Świadczenia społeczne</t>
  </si>
  <si>
    <t>Edukacyjna  opieka  wychowawcza</t>
  </si>
  <si>
    <t>Pomoc materialna dla uczniów</t>
  </si>
  <si>
    <t xml:space="preserve"> Inne formy pomocy dla uczniów</t>
  </si>
  <si>
    <t>Gospodarka  komunalna  i  ochrona  środowiska</t>
  </si>
  <si>
    <t>Gospodarka ściekowa i ochrona wód</t>
  </si>
  <si>
    <t>Oczyszczanie miast i wsi</t>
  </si>
  <si>
    <t>Utrzymanie zieleni w miastach i gminach</t>
  </si>
  <si>
    <t xml:space="preserve">Schroniska dla zwierząt </t>
  </si>
  <si>
    <t xml:space="preserve">Oświetlenie ulic, placów i dróg </t>
  </si>
  <si>
    <t xml:space="preserve"> Zakup usług  remontowych</t>
  </si>
  <si>
    <t xml:space="preserve"> Dotacja celowa z budżetu na finansowanie lub dofinansowanie zadań  zleconych do realizacji stowarzyszeniom  </t>
  </si>
  <si>
    <t xml:space="preserve">  Zakup usług pozostałych</t>
  </si>
  <si>
    <t>Dotacja podmiotowa z budżetu dla samorządowej instytucji kultury</t>
  </si>
  <si>
    <t>Ochrona zabytków i opieka nad zabytkami</t>
  </si>
  <si>
    <t>Zakupy materiałów i wyposażenia</t>
  </si>
  <si>
    <t xml:space="preserve"> Wydatki na zakupy inwestycyjne jednostek budżetowych</t>
  </si>
  <si>
    <t>Dotacje celowe przekazane dla powiatu na zadania bieżące realizowane na podstawie porozumień między j.s.t.</t>
  </si>
  <si>
    <t>Wydatki
budżetu Gminy Barlinek
związane z realizacją zadań z zakresu administracji rządowej i innych zadań zleconych odrębnymi ustawami w 2011 r.</t>
  </si>
  <si>
    <t xml:space="preserve"> Opłaty z tytułu zakupu usług telekomunikacyjnych telefonii stacjonarnej</t>
  </si>
  <si>
    <t xml:space="preserve"> Odpisy na zakładowy fundusz świadczeń socjalnych </t>
  </si>
  <si>
    <t>Świadczenia rodzinne, zaliczka alimentacyjna oraz składki na ubezpieczenia emerytalne i rentowe z ubezpieczenia społecznego</t>
  </si>
  <si>
    <t xml:space="preserve">Zakup usług zdrowotnych </t>
  </si>
  <si>
    <t>Wydatki
budżetu Gminy Barlinek związane z realizacją zadań z zakresu administracji rządowej wykonywanych na podstawie porozumień z organami administracji rządowej w 2011 r.</t>
  </si>
  <si>
    <t>Wydatki budżetu Gminy Barlinek w 2011 (Środki Unijne)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</si>
  <si>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</si>
  <si>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</si>
  <si>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</si>
  <si>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</si>
  <si>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</si>
  <si>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</si>
  <si>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</si>
  <si>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</si>
  <si>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</si>
  <si>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</si>
  <si>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</si>
  <si>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</si>
  <si>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</si>
  <si>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</si>
  <si>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</si>
  <si>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</si>
  <si>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</si>
  <si>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</si>
  <si>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Plan wydatków inwestycyjnych  na 2011 rok </t>
  </si>
  <si>
    <t>Nazwa</t>
  </si>
  <si>
    <t xml:space="preserve">Plan
</t>
  </si>
  <si>
    <t>1. Modernizacja wodociągu w Lutówku</t>
  </si>
  <si>
    <t>2. Budowa sieci wodociągowej ul. Fabrycznej w Barlinku – finansowanie zgodnie z porozumieniem z HACON Sp.zoo</t>
  </si>
  <si>
    <t>1. Budowa stacji i sieci wodociągowej w Moczydle</t>
  </si>
  <si>
    <t>1.Przebudowa drogi wojewódzkiej Nr 156 na odcinku Mostkowo - Barlinek</t>
  </si>
  <si>
    <t>Wydatki inwestycyjne jednostek budżetowych</t>
  </si>
  <si>
    <t>1.Remont ul. Stodolnej</t>
  </si>
  <si>
    <t>2. Budowa ulicy Wiśniowej – dokumentacja</t>
  </si>
  <si>
    <t xml:space="preserve">1. Budowa ścieżki rowerowej z Barlinka do Krzynki </t>
  </si>
  <si>
    <t>1. Budowa i przebudowa dróg łączących północną część miasta Barlinek z drogą wojewódzką DW 156</t>
  </si>
  <si>
    <t>Bezpieczeństwo publiczne
I ochrona  przeciwpożarowa</t>
  </si>
  <si>
    <t>1. Modernizacja strażnicy OSP w Barlinku na potrzeby Gminnego Centrum Ratownictwa</t>
  </si>
  <si>
    <t>1.Termomodernizacja obiektów użyteczności publicznej</t>
  </si>
  <si>
    <t>Akademia Sztuki w Szczecinie</t>
  </si>
  <si>
    <t>1. Budowa sieci  kanalizacyjnej ul. Fabrycznej w Barlinku – finansowanie zgodnie z porozumieniem z HACON Sp. zoo</t>
  </si>
  <si>
    <t>1. Budowa boiska wielofunkcyjnego w Rychnowie  -dokumentacja</t>
  </si>
  <si>
    <t>1. Przebudowa boiska piłkarskiego wraz z zapleczem techniczno -socjalnym przy ul. Sportowej w Barlinku</t>
  </si>
  <si>
    <t>1.Zakup 2 szt. kontenerów - szatni dla zawodników w Płonnie</t>
  </si>
  <si>
    <t>Plan dochodów własnych jednostek budżetowych Gminy Barlinek na 2011 rok (Szkoły Podstawowe )</t>
  </si>
  <si>
    <t>Szkoła Podstawowa Nr 1</t>
  </si>
  <si>
    <t>Szkoła Podstawowa Nr 4</t>
  </si>
  <si>
    <t>Szkoła Podstawowa w Mostkowie</t>
  </si>
  <si>
    <t>Razem</t>
  </si>
  <si>
    <t xml:space="preserve"> Dochody z najmu i dzierżawy składników majątkowych Skarbu Państwa, j.s.t. lub innych jednostek zaliczanych do sektora finansów publicznych oraz innych umów o podobnym charakterze  </t>
  </si>
  <si>
    <t>0830</t>
  </si>
  <si>
    <t>0920</t>
  </si>
  <si>
    <t>Pozostałe odsetki</t>
  </si>
  <si>
    <t>80148</t>
  </si>
  <si>
    <t>Plan dochodów własnych jednostek budżetowych Gminy Barlinek na 2011 rok (Przedszkola Miejskie)</t>
  </si>
  <si>
    <t>Przedszkole Miejskie Nr 1</t>
  </si>
  <si>
    <t>Przedszkole Miejskie Nr 2</t>
  </si>
  <si>
    <t>Plan dochodów własnych jednostek budżetowych Gminy Barlinek na 2011 rok (Publiczne Gimnazja)</t>
  </si>
  <si>
    <t>Publiczne Gimnazjum Nr 1</t>
  </si>
  <si>
    <t>Publiczne Gimnazjum Nr 2</t>
  </si>
  <si>
    <t xml:space="preserve"> Gimnazjum dla Dorosłych</t>
  </si>
  <si>
    <t>Wpływy z różnych dochodów</t>
  </si>
  <si>
    <t>Wydatki jednostek budżetowych Gminy Barlinek na rok 2011 (Szkoła Podstawowa Nr 1)</t>
  </si>
  <si>
    <t>Wydatki osobowe nie zaliczone do wynagrodzeń</t>
  </si>
  <si>
    <t>Zasądzone renty</t>
  </si>
  <si>
    <t>Opłaty z tytułu zakupu usług telekomunikacyjnych telefonii stacjonarnej</t>
  </si>
  <si>
    <t>Stołówki szkolne i przedszkolne</t>
  </si>
  <si>
    <t>Zakup środków żywności</t>
  </si>
  <si>
    <t>Wydatki jednostek budżetowych Gminy Barlinek na rok 2011 (Szkoła Podstawowa Nr 4)</t>
  </si>
  <si>
    <t xml:space="preserve">Wynagrodzenia bezosobowe </t>
  </si>
  <si>
    <t>Wydatki jednostek budżetowych Gminy Barlinek na rok 2011( Szkoła Podstawowa w Mostkowie)</t>
  </si>
  <si>
    <t>Dodatkowe wynagrodzenia roczne</t>
  </si>
  <si>
    <t>Zakup usług dostępu do sieci internet</t>
  </si>
  <si>
    <t>Wydatki jednostek budżetowych Gminy Barlinek na rok 2011 (Przedszkole Miejskie Nr 1)</t>
  </si>
  <si>
    <t>Wydatki jednostek budżetowych Gminy Barlinek na rok 2011 (Przedszkole Miejskie Nr 2)</t>
  </si>
  <si>
    <t>Wydatki jednostek budżetowych Gminy Barlinek na rok 2011 (Gimnazjum Publiczne Nr 1)</t>
  </si>
  <si>
    <t>Wydatki jednostek budżetowych Gminy Barlinek na rok 2011 (Gimnazjum Publiczne Nr 2)</t>
  </si>
  <si>
    <t>Wydatki jednostek budżetowych Gminy Barlinek na rok 2011 (Gimnazjum dla Dorosłych)</t>
  </si>
  <si>
    <t>Dotacje podmiotowe dla jednostek sektora finansów publicznych udzielone z budżetu Gminy Barlinek w 2011 r.</t>
  </si>
  <si>
    <t>Nazwa jednostki lub działalności</t>
  </si>
  <si>
    <t>Kultura i ochrona dziedzictwa narodowego</t>
  </si>
  <si>
    <t>Barlinecki Ośrodek Kultury</t>
  </si>
  <si>
    <t>DOTACJE PODMIOTOWE DLA JEDNOSTEK SPOZA SEKTORA FINANSÓW PUBLICZNYCH NA 2011 ROK</t>
  </si>
  <si>
    <t>Oświata i wychowanie</t>
  </si>
  <si>
    <t xml:space="preserve">Dotacja podmiotowa dla niepublicznej jednostki systemu oświaty </t>
  </si>
  <si>
    <t>1.Niepubliczne przedszkole w Rychnowie</t>
  </si>
  <si>
    <t xml:space="preserve">  </t>
  </si>
  <si>
    <t xml:space="preserve">2.Niepubliczne przedszkole w Płonnie </t>
  </si>
  <si>
    <t>3.Niepubliczne przedszkole Bratek w Barlinku</t>
  </si>
  <si>
    <t>4.Niepubliczne przedszkole w Dziedzicach</t>
  </si>
  <si>
    <t>5.Centrum Prowum Jolana Rybarczyk</t>
  </si>
  <si>
    <t>Dotacje celowe udzielone z budżetu Gminy Barlinek na zadania własne gminy realizowane przez podmioty należące do sektora finansów publicznych w 2011 r.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</si>
  <si>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</si>
  <si>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>Dotacje celowe przekazane dla powiatu na zadania bieżące realizowane na podstawie porozumień (umów) między jednostkami samorządu terytorialnego</t>
  </si>
  <si>
    <t>Dotacje celowe udzielone z budżetu Gminy Barlinek na zadania własne gminy realizowane przez podmioty nienależące do sektora finansów publicznych w 2011 r.</t>
  </si>
  <si>
    <t xml:space="preserve">Dotacja celowa z  budżetu na finansowanie lub dofinansowanie zadań zleconych do realizacji stowarzyszeniom </t>
  </si>
  <si>
    <t>Ochrona zdrowia</t>
  </si>
  <si>
    <t>Zwalczanie narkomanii</t>
  </si>
  <si>
    <t xml:space="preserve">Dotacja celowa z budżetu na finansowanie lub dofinansowanie zadań zleconych do realizacji stowarzyszeniom </t>
  </si>
  <si>
    <t>Przychody i rozchody
budżetu Gminy Barlinek
W 2011 roku</t>
  </si>
  <si>
    <t>Lp.</t>
  </si>
  <si>
    <t>Treść</t>
  </si>
  <si>
    <t>Klasyfikacja
§</t>
  </si>
  <si>
    <t>Kwota
2010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</si>
  <si>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</si>
  <si>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</si>
  <si>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</si>
  <si>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</si>
  <si>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</si>
  <si>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</si>
  <si>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</si>
  <si>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</si>
  <si>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</si>
  <si>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</si>
  <si>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</si>
  <si>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</si>
  <si>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</si>
  <si>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</si>
  <si>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</si>
  <si>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</si>
  <si>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</si>
  <si>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</si>
  <si>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</si>
  <si>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</si>
  <si>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</si>
  <si>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</si>
  <si>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</t>
  </si>
  <si>
    <t>§ 950</t>
  </si>
  <si>
    <t>9.</t>
  </si>
  <si>
    <t xml:space="preserve">Inne źródła </t>
  </si>
  <si>
    <t>§ 955</t>
  </si>
  <si>
    <t>Rozchody ogółem:</t>
  </si>
  <si>
    <t>Spłaty kredytów</t>
  </si>
  <si>
    <t>§ 992</t>
  </si>
  <si>
    <t>Gospodarczy Bank Spółdzielczy w Barlinku</t>
  </si>
  <si>
    <t xml:space="preserve">Bank Gospodarstwa Krajowego w Szczecinie 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</si>
  <si>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</si>
  <si>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</si>
  <si>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</si>
  <si>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</si>
  <si>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</si>
  <si>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</si>
  <si>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</si>
  <si>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</si>
  <si>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</si>
  <si>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</si>
  <si>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</si>
  <si>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jednostek pomocniczych
w ramach budżetu budżetu Gminy Barlinek w 2011 r.</t>
  </si>
  <si>
    <t>Jednostka pomocnicza</t>
  </si>
  <si>
    <t xml:space="preserve">Plan wydatków
ogółem
</t>
  </si>
  <si>
    <t>Fundusz sołecki</t>
  </si>
  <si>
    <t>Pozostałe wydatki</t>
  </si>
  <si>
    <t>Dziedzice</t>
  </si>
  <si>
    <t>Dzikowo</t>
  </si>
  <si>
    <t>Dzikówko</t>
  </si>
  <si>
    <t>Jarząbki</t>
  </si>
  <si>
    <t>Krzynka</t>
  </si>
  <si>
    <t>Lutówko</t>
  </si>
  <si>
    <t>Łubianka</t>
  </si>
  <si>
    <t>Moczkowo</t>
  </si>
  <si>
    <t>Moczydło</t>
  </si>
  <si>
    <t>Mostkowo</t>
  </si>
  <si>
    <t>Okunie</t>
  </si>
  <si>
    <t>Osina</t>
  </si>
  <si>
    <t>Ożar</t>
  </si>
  <si>
    <t>Płonno</t>
  </si>
  <si>
    <t>Równo</t>
  </si>
  <si>
    <t>Rychnów</t>
  </si>
  <si>
    <t>Strąpie</t>
  </si>
  <si>
    <t>Swadzim</t>
  </si>
  <si>
    <t>Żydowo</t>
  </si>
  <si>
    <t>Dochody i wydatki realizowane na podstawie Prawo ochrony środowiska na 2011 rok</t>
  </si>
  <si>
    <t>Wyszczególnienie</t>
  </si>
  <si>
    <t>Dochody</t>
  </si>
  <si>
    <t>Przewidywane wpływy za korzystanie ze środowiska</t>
  </si>
  <si>
    <t>Przewidywane wpływy z tytułu kar i grzywien</t>
  </si>
  <si>
    <t>Odsetki bankowe</t>
  </si>
  <si>
    <t>Wydatki</t>
  </si>
  <si>
    <t>Utrzymanie kanalizacji deszczowej</t>
  </si>
  <si>
    <t>Edukacja ekologiczne i propagowanie działań proekologicznych (konkursy, nagrody, materiały szkoleniowe, Sprzątanie świata</t>
  </si>
  <si>
    <t>a) edukacja ekologiczna i działania proekologicznych</t>
  </si>
  <si>
    <t>b) utrzymanie tablic edukacyjnych przy trasach spacerowych</t>
  </si>
  <si>
    <t>Gospodarka wodno – ściekowa</t>
  </si>
  <si>
    <t>a) melioracje – konserwacja rowów stanowiących własność gminy</t>
  </si>
  <si>
    <t>b) konserwacja, naprawa nadzór aeratora na jeziorze Barlineckim</t>
  </si>
  <si>
    <t xml:space="preserve">c) opieka nad dzikim ptactwem na jeziorze Barlineckim  (dokarmiani, leczenie, budki lęgowe) </t>
  </si>
  <si>
    <t>d) dofinansowanie wywozu ścieków (Stara Dziedzina), zastępczy wywóz ścieków</t>
  </si>
  <si>
    <t>e) utrzymanie kanalizacji deszczowej w Mostkowie, refundacja opłat</t>
  </si>
  <si>
    <t>f) opłaty na rzecz ochrony środowiska – kanaliza deszczowa – Przedsiębiorstwo Wodociągowo-Kanalizacyjne „Płonia” sp. zoo</t>
  </si>
  <si>
    <t>Wydatki różne</t>
  </si>
  <si>
    <t>a)zarybianie jeziora Barlineckiego</t>
  </si>
  <si>
    <t>b)wycinka drzew i nasadzenia nowych</t>
  </si>
  <si>
    <t>c)monitoring nieczynnych składowisk odpadów  w Rychnowie i Strąpiu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</si>
</sst>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8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3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name val="Lucida Sans Unicode"/>
      <family val="2"/>
    </font>
    <font>
      <b/>
      <i/>
      <sz val="12"/>
      <name val="Times New Roman"/>
      <family val="1"/>
    </font>
    <font>
      <b/>
      <i/>
      <sz val="12"/>
      <name val="Arial CE"/>
      <family val="2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2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b/>
      <i/>
      <sz val="14"/>
      <name val="Times New Roman"/>
      <family val="1"/>
    </font>
    <font>
      <i/>
      <u val="single"/>
      <sz val="10"/>
      <name val="Times New Roman"/>
      <family val="1"/>
    </font>
    <font>
      <sz val="13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2" borderId="1" applyNumberFormat="0" applyAlignment="0" applyProtection="0"/>
    <xf numFmtId="0" fontId="8" fillId="12" borderId="2" applyNumberFormat="0" applyAlignment="0" applyProtection="0"/>
    <xf numFmtId="0" fontId="9" fillId="3" borderId="1" applyNumberFormat="0" applyAlignment="0" applyProtection="0"/>
    <xf numFmtId="0" fontId="10" fillId="2" borderId="3" applyNumberFormat="0" applyAlignment="0" applyProtection="0"/>
    <xf numFmtId="0" fontId="11" fillId="1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7" applyNumberFormat="0" applyFill="0" applyAlignment="0" applyProtection="0"/>
    <xf numFmtId="0" fontId="19" fillId="12" borderId="2" applyNumberFormat="0" applyAlignment="0" applyProtection="0"/>
    <xf numFmtId="0" fontId="20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4" borderId="8" applyNumberFormat="0" applyAlignment="0" applyProtection="0"/>
    <xf numFmtId="0" fontId="26" fillId="2" borderId="1" applyNumberFormat="0" applyAlignment="0" applyProtection="0"/>
    <xf numFmtId="0" fontId="27" fillId="2" borderId="3" applyNumberForma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0" fillId="4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</cellStyleXfs>
  <cellXfs count="569">
    <xf numFmtId="0" fontId="0" fillId="0" borderId="0" xfId="0" applyAlignment="1">
      <alignment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36" fillId="0" borderId="0" xfId="0" applyNumberFormat="1" applyFont="1" applyBorder="1" applyAlignment="1">
      <alignment horizontal="center" vertical="center" wrapText="1"/>
    </xf>
    <xf numFmtId="3" fontId="37" fillId="6" borderId="10" xfId="0" applyNumberFormat="1" applyFont="1" applyFill="1" applyBorder="1" applyAlignment="1">
      <alignment horizontal="center" vertical="center" wrapText="1"/>
    </xf>
    <xf numFmtId="3" fontId="37" fillId="12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vertical="center" wrapText="1"/>
    </xf>
    <xf numFmtId="4" fontId="35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/>
    </xf>
    <xf numFmtId="0" fontId="39" fillId="6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1" fillId="10" borderId="10" xfId="0" applyNumberFormat="1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 wrapText="1"/>
    </xf>
    <xf numFmtId="3" fontId="41" fillId="10" borderId="10" xfId="0" applyNumberFormat="1" applyFont="1" applyFill="1" applyBorder="1" applyAlignment="1">
      <alignment horizontal="center" vertical="center" wrapText="1"/>
    </xf>
    <xf numFmtId="49" fontId="42" fillId="19" borderId="10" xfId="0" applyNumberFormat="1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 wrapText="1"/>
    </xf>
    <xf numFmtId="3" fontId="42" fillId="19" borderId="10" xfId="0" applyNumberFormat="1" applyFont="1" applyFill="1" applyBorder="1" applyAlignment="1">
      <alignment horizontal="right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3" fontId="42" fillId="0" borderId="10" xfId="0" applyNumberFormat="1" applyFont="1" applyBorder="1" applyAlignment="1">
      <alignment horizontal="right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 wrapText="1"/>
    </xf>
    <xf numFmtId="3" fontId="42" fillId="19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3" fontId="38" fillId="2" borderId="10" xfId="0" applyNumberFormat="1" applyFont="1" applyFill="1" applyBorder="1" applyAlignment="1">
      <alignment vertical="center" wrapText="1"/>
    </xf>
    <xf numFmtId="0" fontId="42" fillId="19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vertical="center"/>
    </xf>
    <xf numFmtId="0" fontId="42" fillId="19" borderId="10" xfId="0" applyFont="1" applyFill="1" applyBorder="1" applyAlignment="1">
      <alignment horizontal="left" vertical="center" wrapText="1"/>
    </xf>
    <xf numFmtId="49" fontId="47" fillId="19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3" fontId="42" fillId="19" borderId="0" xfId="0" applyNumberFormat="1" applyFont="1" applyFill="1" applyBorder="1" applyAlignment="1">
      <alignment horizontal="right" vertical="center"/>
    </xf>
    <xf numFmtId="3" fontId="38" fillId="0" borderId="10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/>
    </xf>
    <xf numFmtId="4" fontId="38" fillId="0" borderId="10" xfId="0" applyNumberFormat="1" applyFont="1" applyFill="1" applyBorder="1" applyAlignment="1">
      <alignment horizontal="right" vertical="center"/>
    </xf>
    <xf numFmtId="4" fontId="38" fillId="0" borderId="0" xfId="0" applyNumberFormat="1" applyFont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" fontId="42" fillId="19" borderId="10" xfId="0" applyNumberFormat="1" applyFont="1" applyFill="1" applyBorder="1" applyAlignment="1">
      <alignment horizontal="center" vertical="center"/>
    </xf>
    <xf numFmtId="4" fontId="38" fillId="19" borderId="10" xfId="0" applyNumberFormat="1" applyFont="1" applyFill="1" applyBorder="1" applyAlignment="1">
      <alignment horizontal="center" vertical="center"/>
    </xf>
    <xf numFmtId="4" fontId="42" fillId="19" borderId="10" xfId="0" applyNumberFormat="1" applyFont="1" applyFill="1" applyBorder="1" applyAlignment="1">
      <alignment horizontal="center" vertical="top" wrapText="1"/>
    </xf>
    <xf numFmtId="3" fontId="42" fillId="19" borderId="10" xfId="0" applyNumberFormat="1" applyFont="1" applyFill="1" applyBorder="1" applyAlignment="1">
      <alignment horizontal="right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left" vertical="top" wrapText="1"/>
    </xf>
    <xf numFmtId="3" fontId="42" fillId="2" borderId="10" xfId="0" applyNumberFormat="1" applyFont="1" applyFill="1" applyBorder="1" applyAlignment="1">
      <alignment horizontal="right" vertical="center"/>
    </xf>
    <xf numFmtId="3" fontId="38" fillId="0" borderId="10" xfId="0" applyNumberFormat="1" applyFont="1" applyFill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49" fontId="38" fillId="0" borderId="10" xfId="0" applyNumberFormat="1" applyFont="1" applyBorder="1" applyAlignment="1">
      <alignment horizontal="center" vertical="center" wrapText="1"/>
    </xf>
    <xf numFmtId="3" fontId="42" fillId="19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justify" vertical="center" wrapText="1"/>
    </xf>
    <xf numFmtId="3" fontId="38" fillId="0" borderId="0" xfId="0" applyNumberFormat="1" applyFont="1" applyAlignment="1">
      <alignment horizontal="right" vertical="center"/>
    </xf>
    <xf numFmtId="1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51" fillId="6" borderId="10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vertical="center" wrapText="1"/>
    </xf>
    <xf numFmtId="0" fontId="42" fillId="19" borderId="11" xfId="0" applyFont="1" applyFill="1" applyBorder="1" applyAlignment="1">
      <alignment horizontal="center" vertical="top" wrapText="1"/>
    </xf>
    <xf numFmtId="164" fontId="42" fillId="19" borderId="10" xfId="0" applyNumberFormat="1" applyFont="1" applyFill="1" applyBorder="1" applyAlignment="1">
      <alignment vertical="center" wrapText="1"/>
    </xf>
    <xf numFmtId="0" fontId="42" fillId="0" borderId="11" xfId="0" applyFont="1" applyBorder="1" applyAlignment="1">
      <alignment horizontal="left" vertical="top" wrapText="1"/>
    </xf>
    <xf numFmtId="164" fontId="42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" fontId="42" fillId="19" borderId="10" xfId="0" applyNumberFormat="1" applyFont="1" applyFill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 wrapText="1"/>
    </xf>
    <xf numFmtId="49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3" fontId="42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3" fontId="38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 wrapText="1"/>
    </xf>
    <xf numFmtId="49" fontId="46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 wrapText="1"/>
    </xf>
    <xf numFmtId="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37" fillId="12" borderId="10" xfId="0" applyNumberFormat="1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2" fontId="35" fillId="0" borderId="10" xfId="0" applyNumberFormat="1" applyFont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49" fontId="38" fillId="2" borderId="0" xfId="0" applyNumberFormat="1" applyFont="1" applyFill="1" applyAlignment="1">
      <alignment vertical="center" wrapText="1"/>
    </xf>
    <xf numFmtId="0" fontId="38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left" vertical="center" wrapText="1"/>
    </xf>
    <xf numFmtId="3" fontId="38" fillId="2" borderId="0" xfId="0" applyNumberFormat="1" applyFont="1" applyFill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applyFont="1" applyFill="1" applyAlignment="1">
      <alignment vertical="center"/>
    </xf>
    <xf numFmtId="0" fontId="39" fillId="10" borderId="10" xfId="0" applyFont="1" applyFill="1" applyBorder="1" applyAlignment="1">
      <alignment horizontal="center" vertical="center" wrapText="1"/>
    </xf>
    <xf numFmtId="3" fontId="39" fillId="10" borderId="10" xfId="0" applyNumberFormat="1" applyFont="1" applyFill="1" applyBorder="1" applyAlignment="1">
      <alignment horizontal="left" vertical="center" wrapText="1"/>
    </xf>
    <xf numFmtId="3" fontId="39" fillId="10" borderId="10" xfId="0" applyNumberFormat="1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49" fontId="57" fillId="12" borderId="10" xfId="0" applyNumberFormat="1" applyFont="1" applyFill="1" applyBorder="1" applyAlignment="1">
      <alignment horizontal="center" vertical="center" wrapText="1"/>
    </xf>
    <xf numFmtId="0" fontId="57" fillId="12" borderId="10" xfId="0" applyFont="1" applyFill="1" applyBorder="1" applyAlignment="1">
      <alignment horizontal="center" vertical="center" wrapText="1"/>
    </xf>
    <xf numFmtId="3" fontId="57" fillId="12" borderId="10" xfId="0" applyNumberFormat="1" applyFont="1" applyFill="1" applyBorder="1" applyAlignment="1">
      <alignment horizontal="center" vertical="center" wrapText="1"/>
    </xf>
    <xf numFmtId="3" fontId="58" fillId="12" borderId="10" xfId="0" applyNumberFormat="1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/>
    </xf>
    <xf numFmtId="49" fontId="59" fillId="19" borderId="10" xfId="0" applyNumberFormat="1" applyFont="1" applyFill="1" applyBorder="1" applyAlignment="1">
      <alignment horizontal="center" vertical="center" wrapText="1"/>
    </xf>
    <xf numFmtId="0" fontId="59" fillId="19" borderId="10" xfId="0" applyFont="1" applyFill="1" applyBorder="1" applyAlignment="1">
      <alignment horizontal="center" vertical="center" wrapText="1"/>
    </xf>
    <xf numFmtId="4" fontId="59" fillId="19" borderId="10" xfId="0" applyNumberFormat="1" applyFont="1" applyFill="1" applyBorder="1" applyAlignment="1">
      <alignment horizontal="right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4" fontId="59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2" borderId="10" xfId="0" applyNumberFormat="1" applyFont="1" applyFill="1" applyBorder="1" applyAlignment="1">
      <alignment horizontal="right" vertical="center"/>
    </xf>
    <xf numFmtId="4" fontId="60" fillId="2" borderId="10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right"/>
    </xf>
    <xf numFmtId="4" fontId="60" fillId="0" borderId="0" xfId="0" applyNumberFormat="1" applyFont="1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4" fontId="59" fillId="2" borderId="10" xfId="0" applyNumberFormat="1" applyFont="1" applyFill="1" applyBorder="1" applyAlignment="1">
      <alignment horizontal="right" vertical="center"/>
    </xf>
    <xf numFmtId="0" fontId="60" fillId="2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left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4" fontId="60" fillId="2" borderId="10" xfId="0" applyNumberFormat="1" applyFont="1" applyFill="1" applyBorder="1" applyAlignment="1">
      <alignment vertical="center" wrapText="1"/>
    </xf>
    <xf numFmtId="4" fontId="60" fillId="0" borderId="0" xfId="0" applyNumberFormat="1" applyFont="1" applyAlignment="1">
      <alignment horizontal="right" vertical="center" wrapText="1"/>
    </xf>
    <xf numFmtId="0" fontId="60" fillId="2" borderId="0" xfId="0" applyFont="1" applyFill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justify" vertical="center" wrapText="1"/>
    </xf>
    <xf numFmtId="2" fontId="59" fillId="19" borderId="10" xfId="0" applyNumberFormat="1" applyFont="1" applyFill="1" applyBorder="1" applyAlignment="1">
      <alignment horizontal="center" vertical="center" wrapText="1"/>
    </xf>
    <xf numFmtId="2" fontId="38" fillId="2" borderId="0" xfId="0" applyNumberFormat="1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61" fillId="2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vertical="center" wrapText="1"/>
    </xf>
    <xf numFmtId="4" fontId="60" fillId="0" borderId="10" xfId="0" applyNumberFormat="1" applyFont="1" applyBorder="1" applyAlignment="1">
      <alignment horizontal="right" vertical="center"/>
    </xf>
    <xf numFmtId="3" fontId="62" fillId="0" borderId="10" xfId="0" applyNumberFormat="1" applyFont="1" applyBorder="1" applyAlignment="1" applyProtection="1">
      <alignment vertical="center" wrapText="1"/>
      <protection/>
    </xf>
    <xf numFmtId="0" fontId="60" fillId="0" borderId="10" xfId="0" applyFont="1" applyBorder="1" applyAlignment="1">
      <alignment wrapText="1"/>
    </xf>
    <xf numFmtId="4" fontId="60" fillId="2" borderId="10" xfId="0" applyNumberFormat="1" applyFont="1" applyFill="1" applyBorder="1" applyAlignment="1">
      <alignment horizontal="right" vertical="top"/>
    </xf>
    <xf numFmtId="0" fontId="6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0" fontId="38" fillId="2" borderId="0" xfId="0" applyFont="1" applyFill="1" applyBorder="1" applyAlignment="1">
      <alignment vertical="center"/>
    </xf>
    <xf numFmtId="4" fontId="59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vertical="center" wrapText="1"/>
    </xf>
    <xf numFmtId="4" fontId="38" fillId="2" borderId="0" xfId="0" applyNumberFormat="1" applyFont="1" applyFill="1" applyAlignment="1">
      <alignment vertical="center"/>
    </xf>
    <xf numFmtId="4" fontId="60" fillId="0" borderId="10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vertical="center" wrapText="1"/>
    </xf>
    <xf numFmtId="4" fontId="60" fillId="0" borderId="10" xfId="0" applyNumberFormat="1" applyFont="1" applyBorder="1" applyAlignment="1">
      <alignment horizontal="center" vertical="top"/>
    </xf>
    <xf numFmtId="1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justify" vertical="top" wrapText="1"/>
    </xf>
    <xf numFmtId="4" fontId="60" fillId="0" borderId="10" xfId="0" applyNumberFormat="1" applyFont="1" applyBorder="1" applyAlignment="1">
      <alignment horizontal="right" vertical="top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 horizontal="center" vertical="top"/>
    </xf>
    <xf numFmtId="0" fontId="59" fillId="19" borderId="10" xfId="0" applyFont="1" applyFill="1" applyBorder="1" applyAlignment="1">
      <alignment horizontal="center" vertical="top"/>
    </xf>
    <xf numFmtId="0" fontId="59" fillId="19" borderId="10" xfId="0" applyFont="1" applyFill="1" applyBorder="1" applyAlignment="1">
      <alignment horizontal="center" vertical="center"/>
    </xf>
    <xf numFmtId="0" fontId="59" fillId="19" borderId="10" xfId="0" applyFont="1" applyFill="1" applyBorder="1" applyAlignment="1">
      <alignment horizontal="center" vertical="top" wrapText="1"/>
    </xf>
    <xf numFmtId="0" fontId="59" fillId="2" borderId="10" xfId="0" applyFont="1" applyFill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3" fontId="59" fillId="0" borderId="10" xfId="0" applyNumberFormat="1" applyFont="1" applyBorder="1" applyAlignment="1">
      <alignment vertical="top" wrapText="1"/>
    </xf>
    <xf numFmtId="4" fontId="59" fillId="2" borderId="10" xfId="0" applyNumberFormat="1" applyFont="1" applyFill="1" applyBorder="1" applyAlignment="1">
      <alignment horizontal="right" vertical="center" wrapText="1"/>
    </xf>
    <xf numFmtId="0" fontId="60" fillId="2" borderId="10" xfId="0" applyFont="1" applyFill="1" applyBorder="1" applyAlignment="1">
      <alignment horizontal="center" vertical="top"/>
    </xf>
    <xf numFmtId="0" fontId="60" fillId="2" borderId="10" xfId="0" applyFont="1" applyFill="1" applyBorder="1" applyAlignment="1">
      <alignment horizontal="left" vertical="top" wrapText="1"/>
    </xf>
    <xf numFmtId="0" fontId="59" fillId="2" borderId="10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justify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vertical="center" wrapText="1"/>
    </xf>
    <xf numFmtId="0" fontId="60" fillId="2" borderId="10" xfId="0" applyFont="1" applyFill="1" applyBorder="1" applyAlignment="1">
      <alignment horizontal="justify" vertical="center" wrapText="1"/>
    </xf>
    <xf numFmtId="0" fontId="60" fillId="0" borderId="10" xfId="0" applyFont="1" applyBorder="1" applyAlignment="1">
      <alignment horizontal="left" vertical="center" wrapText="1"/>
    </xf>
    <xf numFmtId="4" fontId="59" fillId="19" borderId="10" xfId="0" applyNumberFormat="1" applyFont="1" applyFill="1" applyBorder="1" applyAlignment="1">
      <alignment horizontal="right" vertical="top"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justify" vertical="top" wrapText="1"/>
    </xf>
    <xf numFmtId="4" fontId="59" fillId="0" borderId="10" xfId="0" applyNumberFormat="1" applyFont="1" applyBorder="1" applyAlignment="1">
      <alignment horizontal="right" vertical="top"/>
    </xf>
    <xf numFmtId="4" fontId="59" fillId="0" borderId="10" xfId="0" applyNumberFormat="1" applyFont="1" applyFill="1" applyBorder="1" applyAlignment="1">
      <alignment horizontal="right" vertical="center"/>
    </xf>
    <xf numFmtId="4" fontId="59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/>
    </xf>
    <xf numFmtId="3" fontId="59" fillId="19" borderId="10" xfId="0" applyNumberFormat="1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38" fillId="2" borderId="0" xfId="0" applyFont="1" applyFill="1" applyBorder="1" applyAlignment="1">
      <alignment horizontal="center" vertical="center" wrapText="1"/>
    </xf>
    <xf numFmtId="165" fontId="38" fillId="2" borderId="0" xfId="0" applyNumberFormat="1" applyFont="1" applyFill="1" applyAlignment="1">
      <alignment vertical="center" wrapText="1"/>
    </xf>
    <xf numFmtId="4" fontId="38" fillId="2" borderId="0" xfId="0" applyNumberFormat="1" applyFont="1" applyFill="1" applyAlignment="1">
      <alignment vertical="center" wrapText="1"/>
    </xf>
    <xf numFmtId="0" fontId="40" fillId="2" borderId="0" xfId="0" applyFont="1" applyFill="1" applyAlignment="1">
      <alignment horizontal="center" vertical="center"/>
    </xf>
    <xf numFmtId="3" fontId="51" fillId="10" borderId="10" xfId="0" applyNumberFormat="1" applyFont="1" applyFill="1" applyBorder="1" applyAlignment="1">
      <alignment horizontal="center" vertical="center" wrapText="1"/>
    </xf>
    <xf numFmtId="3" fontId="51" fillId="10" borderId="10" xfId="0" applyNumberFormat="1" applyFont="1" applyFill="1" applyBorder="1" applyAlignment="1">
      <alignment horizontal="left" vertical="center" wrapText="1"/>
    </xf>
    <xf numFmtId="0" fontId="51" fillId="10" borderId="10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/>
    </xf>
    <xf numFmtId="3" fontId="38" fillId="2" borderId="10" xfId="0" applyNumberFormat="1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left" vertical="center" wrapText="1"/>
    </xf>
    <xf numFmtId="3" fontId="42" fillId="2" borderId="10" xfId="0" applyNumberFormat="1" applyFont="1" applyFill="1" applyBorder="1" applyAlignment="1">
      <alignment horizontal="right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center" wrapText="1"/>
    </xf>
    <xf numFmtId="3" fontId="38" fillId="2" borderId="10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3" fontId="38" fillId="2" borderId="10" xfId="0" applyNumberFormat="1" applyFont="1" applyFill="1" applyBorder="1" applyAlignment="1">
      <alignment vertical="top"/>
    </xf>
    <xf numFmtId="3" fontId="38" fillId="0" borderId="10" xfId="0" applyNumberFormat="1" applyFont="1" applyBorder="1" applyAlignment="1">
      <alignment/>
    </xf>
    <xf numFmtId="0" fontId="42" fillId="19" borderId="10" xfId="0" applyFont="1" applyFill="1" applyBorder="1" applyAlignment="1">
      <alignment horizontal="center" vertical="top"/>
    </xf>
    <xf numFmtId="0" fontId="42" fillId="19" borderId="10" xfId="0" applyFont="1" applyFill="1" applyBorder="1" applyAlignment="1">
      <alignment horizontal="center" vertical="top" wrapText="1"/>
    </xf>
    <xf numFmtId="3" fontId="42" fillId="19" borderId="10" xfId="0" applyNumberFormat="1" applyFont="1" applyFill="1" applyBorder="1" applyAlignment="1">
      <alignment horizontal="right" vertical="top"/>
    </xf>
    <xf numFmtId="0" fontId="38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justify" vertical="top" wrapText="1"/>
    </xf>
    <xf numFmtId="3" fontId="42" fillId="0" borderId="10" xfId="0" applyNumberFormat="1" applyFont="1" applyBorder="1" applyAlignment="1">
      <alignment horizontal="right" vertical="top"/>
    </xf>
    <xf numFmtId="0" fontId="38" fillId="0" borderId="10" xfId="0" applyFont="1" applyBorder="1" applyAlignment="1">
      <alignment horizontal="justify" vertical="top" wrapText="1"/>
    </xf>
    <xf numFmtId="3" fontId="38" fillId="0" borderId="10" xfId="0" applyNumberFormat="1" applyFont="1" applyBorder="1" applyAlignment="1">
      <alignment horizontal="right" vertical="top"/>
    </xf>
    <xf numFmtId="3" fontId="38" fillId="2" borderId="10" xfId="0" applyNumberFormat="1" applyFont="1" applyFill="1" applyBorder="1" applyAlignment="1">
      <alignment vertical="top"/>
    </xf>
    <xf numFmtId="3" fontId="42" fillId="0" borderId="10" xfId="0" applyNumberFormat="1" applyFont="1" applyFill="1" applyBorder="1" applyAlignment="1">
      <alignment horizontal="right" vertical="center"/>
    </xf>
    <xf numFmtId="3" fontId="38" fillId="2" borderId="10" xfId="0" applyNumberFormat="1" applyFont="1" applyFill="1" applyBorder="1" applyAlignment="1">
      <alignment vertical="center"/>
    </xf>
    <xf numFmtId="3" fontId="42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49" fontId="40" fillId="6" borderId="10" xfId="0" applyNumberFormat="1" applyFont="1" applyFill="1" applyBorder="1" applyAlignment="1">
      <alignment horizontal="center" vertical="center" wrapText="1"/>
    </xf>
    <xf numFmtId="0" fontId="40" fillId="6" borderId="10" xfId="0" applyFont="1" applyFill="1" applyBorder="1" applyAlignment="1">
      <alignment horizontal="center" vertical="center" wrapText="1"/>
    </xf>
    <xf numFmtId="0" fontId="65" fillId="2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vertical="center" wrapText="1"/>
    </xf>
    <xf numFmtId="3" fontId="43" fillId="2" borderId="10" xfId="0" applyNumberFormat="1" applyFont="1" applyFill="1" applyBorder="1" applyAlignment="1">
      <alignment vertical="center" wrapText="1"/>
    </xf>
    <xf numFmtId="0" fontId="42" fillId="2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vertical="top" wrapText="1"/>
    </xf>
    <xf numFmtId="0" fontId="38" fillId="2" borderId="1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2" borderId="10" xfId="0" applyFont="1" applyFill="1" applyBorder="1" applyAlignment="1">
      <alignment horizontal="left" vertical="top" wrapText="1"/>
    </xf>
    <xf numFmtId="3" fontId="42" fillId="5" borderId="10" xfId="0" applyNumberFormat="1" applyFont="1" applyFill="1" applyBorder="1" applyAlignment="1">
      <alignment horizontal="right" vertical="center"/>
    </xf>
    <xf numFmtId="2" fontId="38" fillId="0" borderId="0" xfId="0" applyNumberFormat="1" applyFont="1" applyAlignment="1">
      <alignment horizontal="right" vertical="center"/>
    </xf>
    <xf numFmtId="49" fontId="38" fillId="0" borderId="0" xfId="0" applyNumberFormat="1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55" fillId="6" borderId="10" xfId="0" applyFont="1" applyFill="1" applyBorder="1" applyAlignment="1">
      <alignment horizontal="center" vertical="center" wrapText="1"/>
    </xf>
    <xf numFmtId="0" fontId="53" fillId="6" borderId="12" xfId="0" applyFont="1" applyFill="1" applyBorder="1" applyAlignment="1">
      <alignment horizontal="center" vertical="center"/>
    </xf>
    <xf numFmtId="0" fontId="55" fillId="6" borderId="13" xfId="0" applyFont="1" applyFill="1" applyBorder="1" applyAlignment="1">
      <alignment horizontal="center" vertical="center"/>
    </xf>
    <xf numFmtId="49" fontId="40" fillId="6" borderId="10" xfId="0" applyNumberFormat="1" applyFont="1" applyFill="1" applyBorder="1" applyAlignment="1">
      <alignment horizontal="center" vertical="top" wrapText="1"/>
    </xf>
    <xf numFmtId="0" fontId="40" fillId="6" borderId="10" xfId="0" applyFont="1" applyFill="1" applyBorder="1" applyAlignment="1">
      <alignment horizontal="center" vertical="top" wrapText="1"/>
    </xf>
    <xf numFmtId="0" fontId="40" fillId="6" borderId="10" xfId="0" applyFont="1" applyFill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3" fontId="42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horizontal="right" vertical="top"/>
    </xf>
    <xf numFmtId="3" fontId="42" fillId="0" borderId="10" xfId="0" applyNumberFormat="1" applyFont="1" applyBorder="1" applyAlignment="1">
      <alignment horizontal="right" vertical="top"/>
    </xf>
    <xf numFmtId="3" fontId="42" fillId="5" borderId="10" xfId="0" applyNumberFormat="1" applyFont="1" applyFill="1" applyBorder="1" applyAlignment="1">
      <alignment horizontal="right" vertical="top" wrapText="1"/>
    </xf>
    <xf numFmtId="2" fontId="38" fillId="0" borderId="0" xfId="0" applyNumberFormat="1" applyFont="1" applyAlignment="1">
      <alignment horizontal="right" vertical="top"/>
    </xf>
    <xf numFmtId="3" fontId="38" fillId="0" borderId="10" xfId="0" applyNumberFormat="1" applyFont="1" applyBorder="1" applyAlignment="1">
      <alignment horizontal="right" vertical="top" wrapText="1"/>
    </xf>
    <xf numFmtId="3" fontId="42" fillId="0" borderId="10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 vertical="top"/>
    </xf>
    <xf numFmtId="0" fontId="40" fillId="6" borderId="10" xfId="0" applyFont="1" applyFill="1" applyBorder="1" applyAlignment="1">
      <alignment vertical="top" wrapText="1"/>
    </xf>
    <xf numFmtId="0" fontId="38" fillId="6" borderId="10" xfId="0" applyFont="1" applyFill="1" applyBorder="1" applyAlignment="1">
      <alignment horizontal="center" vertical="top"/>
    </xf>
    <xf numFmtId="49" fontId="42" fillId="0" borderId="10" xfId="0" applyNumberFormat="1" applyFont="1" applyBorder="1" applyAlignment="1">
      <alignment vertical="top"/>
    </xf>
    <xf numFmtId="49" fontId="38" fillId="0" borderId="10" xfId="0" applyNumberFormat="1" applyFont="1" applyBorder="1" applyAlignment="1">
      <alignment vertical="top"/>
    </xf>
    <xf numFmtId="49" fontId="40" fillId="2" borderId="0" xfId="0" applyNumberFormat="1" applyFont="1" applyFill="1" applyAlignment="1">
      <alignment vertical="top"/>
    </xf>
    <xf numFmtId="0" fontId="40" fillId="2" borderId="0" xfId="0" applyFont="1" applyFill="1" applyAlignment="1">
      <alignment vertical="top"/>
    </xf>
    <xf numFmtId="0" fontId="40" fillId="2" borderId="0" xfId="0" applyFont="1" applyFill="1" applyAlignment="1">
      <alignment horizontal="left" vertical="top"/>
    </xf>
    <xf numFmtId="0" fontId="40" fillId="0" borderId="0" xfId="0" applyFont="1" applyAlignment="1">
      <alignment/>
    </xf>
    <xf numFmtId="49" fontId="52" fillId="6" borderId="10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39" fillId="19" borderId="10" xfId="0" applyFont="1" applyFill="1" applyBorder="1" applyAlignment="1">
      <alignment horizontal="center" vertical="center" wrapText="1"/>
    </xf>
    <xf numFmtId="3" fontId="39" fillId="19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66" fillId="2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vertical="center" wrapText="1"/>
    </xf>
    <xf numFmtId="3" fontId="40" fillId="2" borderId="10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165" fontId="40" fillId="2" borderId="0" xfId="0" applyNumberFormat="1" applyFont="1" applyFill="1" applyAlignment="1">
      <alignment vertical="top"/>
    </xf>
    <xf numFmtId="4" fontId="40" fillId="2" borderId="0" xfId="0" applyNumberFormat="1" applyFont="1" applyFill="1" applyAlignment="1">
      <alignment vertical="top"/>
    </xf>
    <xf numFmtId="2" fontId="40" fillId="2" borderId="0" xfId="0" applyNumberFormat="1" applyFont="1" applyFill="1" applyAlignment="1">
      <alignment vertical="top"/>
    </xf>
    <xf numFmtId="3" fontId="40" fillId="2" borderId="0" xfId="0" applyNumberFormat="1" applyFont="1" applyFill="1" applyAlignment="1">
      <alignment vertical="top"/>
    </xf>
    <xf numFmtId="3" fontId="40" fillId="2" borderId="10" xfId="0" applyNumberFormat="1" applyFont="1" applyFill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right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wrapText="1"/>
    </xf>
    <xf numFmtId="0" fontId="53" fillId="0" borderId="0" xfId="0" applyFont="1" applyAlignment="1">
      <alignment/>
    </xf>
    <xf numFmtId="0" fontId="69" fillId="0" borderId="0" xfId="0" applyNumberFormat="1" applyFont="1" applyBorder="1" applyAlignment="1" applyProtection="1">
      <alignment/>
      <protection/>
    </xf>
    <xf numFmtId="0" fontId="70" fillId="0" borderId="0" xfId="0" applyNumberFormat="1" applyFont="1" applyBorder="1" applyAlignment="1" applyProtection="1">
      <alignment/>
      <protection/>
    </xf>
    <xf numFmtId="49" fontId="39" fillId="6" borderId="10" xfId="0" applyNumberFormat="1" applyFont="1" applyFill="1" applyBorder="1" applyAlignment="1">
      <alignment horizontal="center" vertical="top" wrapText="1"/>
    </xf>
    <xf numFmtId="0" fontId="43" fillId="0" borderId="0" xfId="0" applyNumberFormat="1" applyFont="1" applyBorder="1" applyAlignment="1" applyProtection="1">
      <alignment vertical="center"/>
      <protection/>
    </xf>
    <xf numFmtId="0" fontId="39" fillId="0" borderId="10" xfId="0" applyFont="1" applyBorder="1" applyAlignment="1">
      <alignment horizontal="center" vertical="center"/>
    </xf>
    <xf numFmtId="3" fontId="40" fillId="2" borderId="10" xfId="0" applyNumberFormat="1" applyFont="1" applyFill="1" applyBorder="1" applyAlignment="1">
      <alignment horizontal="right" vertical="center"/>
    </xf>
    <xf numFmtId="3" fontId="67" fillId="2" borderId="10" xfId="0" applyNumberFormat="1" applyFont="1" applyFill="1" applyBorder="1" applyAlignment="1">
      <alignment horizontal="right" vertical="center"/>
    </xf>
    <xf numFmtId="3" fontId="40" fillId="2" borderId="10" xfId="0" applyNumberFormat="1" applyFont="1" applyFill="1" applyBorder="1" applyAlignment="1">
      <alignment horizontal="right" vertical="center" wrapText="1"/>
    </xf>
    <xf numFmtId="3" fontId="67" fillId="2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3" fontId="66" fillId="2" borderId="10" xfId="0" applyNumberFormat="1" applyFont="1" applyFill="1" applyBorder="1" applyAlignment="1">
      <alignment horizontal="right" vertical="center"/>
    </xf>
    <xf numFmtId="0" fontId="39" fillId="2" borderId="0" xfId="0" applyFont="1" applyFill="1" applyAlignment="1">
      <alignment vertical="top"/>
    </xf>
    <xf numFmtId="0" fontId="39" fillId="2" borderId="0" xfId="0" applyFont="1" applyFill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top"/>
    </xf>
    <xf numFmtId="0" fontId="39" fillId="19" borderId="10" xfId="0" applyFont="1" applyFill="1" applyBorder="1" applyAlignment="1">
      <alignment horizontal="center" vertical="center"/>
    </xf>
    <xf numFmtId="0" fontId="39" fillId="19" borderId="10" xfId="0" applyFont="1" applyFill="1" applyBorder="1" applyAlignment="1">
      <alignment horizontal="center" vertical="center" wrapText="1"/>
    </xf>
    <xf numFmtId="3" fontId="39" fillId="19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right" vertical="center"/>
    </xf>
    <xf numFmtId="0" fontId="66" fillId="2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vertical="center" wrapText="1"/>
    </xf>
    <xf numFmtId="3" fontId="40" fillId="2" borderId="10" xfId="0" applyNumberFormat="1" applyFont="1" applyFill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/>
    </xf>
    <xf numFmtId="3" fontId="39" fillId="2" borderId="10" xfId="0" applyNumberFormat="1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top"/>
    </xf>
    <xf numFmtId="0" fontId="39" fillId="0" borderId="0" xfId="0" applyFont="1" applyAlignment="1">
      <alignment/>
    </xf>
    <xf numFmtId="0" fontId="66" fillId="2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vertical="center" wrapText="1"/>
    </xf>
    <xf numFmtId="3" fontId="72" fillId="0" borderId="10" xfId="0" applyNumberFormat="1" applyFont="1" applyBorder="1" applyAlignment="1">
      <alignment horizontal="right" vertical="center" wrapText="1"/>
    </xf>
    <xf numFmtId="3" fontId="67" fillId="2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vertical="center" wrapText="1"/>
    </xf>
    <xf numFmtId="3" fontId="72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39" fillId="19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3" fontId="40" fillId="2" borderId="10" xfId="0" applyNumberFormat="1" applyFont="1" applyFill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 vertical="center" wrapText="1"/>
    </xf>
    <xf numFmtId="3" fontId="40" fillId="2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vertical="center" wrapText="1"/>
    </xf>
    <xf numFmtId="49" fontId="53" fillId="0" borderId="0" xfId="0" applyNumberFormat="1" applyFont="1" applyAlignment="1">
      <alignment vertical="top"/>
    </xf>
    <xf numFmtId="0" fontId="53" fillId="0" borderId="0" xfId="0" applyFont="1" applyAlignment="1">
      <alignment vertical="top" wrapText="1"/>
    </xf>
    <xf numFmtId="3" fontId="53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0" fillId="0" borderId="0" xfId="0" applyAlignment="1">
      <alignment vertical="top"/>
    </xf>
    <xf numFmtId="49" fontId="73" fillId="0" borderId="0" xfId="0" applyNumberFormat="1" applyFont="1" applyBorder="1" applyAlignment="1">
      <alignment horizontal="center" vertical="top"/>
    </xf>
    <xf numFmtId="0" fontId="74" fillId="0" borderId="0" xfId="0" applyFont="1" applyAlignment="1">
      <alignment horizontal="right"/>
    </xf>
    <xf numFmtId="49" fontId="57" fillId="0" borderId="0" xfId="0" applyNumberFormat="1" applyFont="1" applyBorder="1" applyAlignment="1">
      <alignment horizontal="right" vertical="top"/>
    </xf>
    <xf numFmtId="49" fontId="39" fillId="6" borderId="10" xfId="0" applyNumberFormat="1" applyFont="1" applyFill="1" applyBorder="1" applyAlignment="1">
      <alignment horizontal="center" vertical="center"/>
    </xf>
    <xf numFmtId="3" fontId="39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42" fillId="19" borderId="10" xfId="0" applyNumberFormat="1" applyFont="1" applyFill="1" applyBorder="1" applyAlignment="1">
      <alignment horizontal="center" vertical="top"/>
    </xf>
    <xf numFmtId="2" fontId="42" fillId="19" borderId="10" xfId="0" applyNumberFormat="1" applyFont="1" applyFill="1" applyBorder="1" applyAlignment="1">
      <alignment horizontal="center" vertical="top" wrapText="1"/>
    </xf>
    <xf numFmtId="3" fontId="42" fillId="19" borderId="1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/>
    </xf>
    <xf numFmtId="49" fontId="38" fillId="0" borderId="10" xfId="0" applyNumberFormat="1" applyFont="1" applyFill="1" applyBorder="1" applyAlignment="1">
      <alignment horizontal="center" vertical="top"/>
    </xf>
    <xf numFmtId="1" fontId="42" fillId="0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3" fontId="42" fillId="0" borderId="10" xfId="0" applyNumberFormat="1" applyFont="1" applyFill="1" applyBorder="1" applyAlignment="1">
      <alignment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3" fontId="42" fillId="5" borderId="10" xfId="0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right" vertical="top"/>
    </xf>
    <xf numFmtId="0" fontId="75" fillId="0" borderId="0" xfId="0" applyFont="1" applyAlignment="1">
      <alignment vertical="top"/>
    </xf>
    <xf numFmtId="49" fontId="42" fillId="19" borderId="10" xfId="0" applyNumberFormat="1" applyFont="1" applyFill="1" applyBorder="1" applyAlignment="1">
      <alignment horizontal="center" vertical="center" wrapText="1"/>
    </xf>
    <xf numFmtId="3" fontId="42" fillId="19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justify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justify" vertical="center" wrapText="1"/>
    </xf>
    <xf numFmtId="3" fontId="38" fillId="0" borderId="10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Alignment="1">
      <alignment vertical="top"/>
    </xf>
    <xf numFmtId="0" fontId="76" fillId="6" borderId="10" xfId="71" applyFont="1" applyFill="1" applyBorder="1" applyAlignment="1">
      <alignment horizontal="center" vertical="center" wrapText="1"/>
      <protection/>
    </xf>
    <xf numFmtId="3" fontId="42" fillId="19" borderId="10" xfId="0" applyNumberFormat="1" applyFont="1" applyFill="1" applyBorder="1" applyAlignment="1">
      <alignment horizontal="right" vertical="top"/>
    </xf>
    <xf numFmtId="3" fontId="42" fillId="2" borderId="10" xfId="0" applyNumberFormat="1" applyFont="1" applyFill="1" applyBorder="1" applyAlignment="1">
      <alignment horizontal="right" vertical="top"/>
    </xf>
    <xf numFmtId="0" fontId="42" fillId="2" borderId="10" xfId="0" applyFont="1" applyFill="1" applyBorder="1" applyAlignment="1">
      <alignment horizontal="justify" vertical="top" wrapText="1"/>
    </xf>
    <xf numFmtId="0" fontId="38" fillId="2" borderId="10" xfId="0" applyFont="1" applyFill="1" applyBorder="1" applyAlignment="1">
      <alignment horizontal="justify" vertical="top" wrapText="1"/>
    </xf>
    <xf numFmtId="0" fontId="38" fillId="0" borderId="10" xfId="0" applyFont="1" applyBorder="1" applyAlignment="1">
      <alignment vertical="top" wrapText="1"/>
    </xf>
    <xf numFmtId="3" fontId="38" fillId="0" borderId="10" xfId="0" applyNumberFormat="1" applyFont="1" applyBorder="1" applyAlignment="1">
      <alignment vertical="top" wrapText="1"/>
    </xf>
    <xf numFmtId="49" fontId="55" fillId="6" borderId="10" xfId="0" applyNumberFormat="1" applyFont="1" applyFill="1" applyBorder="1" applyAlignment="1">
      <alignment horizontal="center" vertical="center"/>
    </xf>
    <xf numFmtId="3" fontId="55" fillId="6" borderId="10" xfId="0" applyNumberFormat="1" applyFont="1" applyFill="1" applyBorder="1" applyAlignment="1">
      <alignment horizontal="center" vertical="center"/>
    </xf>
    <xf numFmtId="3" fontId="55" fillId="6" borderId="10" xfId="0" applyNumberFormat="1" applyFont="1" applyFill="1" applyBorder="1" applyAlignment="1">
      <alignment horizontal="center" vertical="top"/>
    </xf>
    <xf numFmtId="3" fontId="42" fillId="19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3" fontId="42" fillId="0" borderId="10" xfId="0" applyNumberFormat="1" applyFont="1" applyFill="1" applyBorder="1" applyAlignment="1">
      <alignment horizontal="justify" vertical="top"/>
    </xf>
    <xf numFmtId="3" fontId="42" fillId="0" borderId="10" xfId="0" applyNumberFormat="1" applyFont="1" applyFill="1" applyBorder="1" applyAlignment="1">
      <alignment horizontal="right" vertical="top"/>
    </xf>
    <xf numFmtId="3" fontId="38" fillId="0" borderId="10" xfId="0" applyNumberFormat="1" applyFont="1" applyFill="1" applyBorder="1" applyAlignment="1">
      <alignment horizontal="right" vertical="top"/>
    </xf>
    <xf numFmtId="3" fontId="38" fillId="2" borderId="10" xfId="0" applyNumberFormat="1" applyFont="1" applyFill="1" applyBorder="1" applyAlignment="1">
      <alignment horizontal="right" vertical="top"/>
    </xf>
    <xf numFmtId="3" fontId="42" fillId="0" borderId="10" xfId="0" applyNumberFormat="1" applyFont="1" applyBorder="1" applyAlignment="1">
      <alignment horizontal="justify" vertical="top" wrapText="1"/>
    </xf>
    <xf numFmtId="3" fontId="38" fillId="0" borderId="10" xfId="0" applyNumberFormat="1" applyFont="1" applyBorder="1" applyAlignment="1">
      <alignment horizontal="justify" vertical="top" wrapText="1"/>
    </xf>
    <xf numFmtId="3" fontId="42" fillId="19" borderId="10" xfId="0" applyNumberFormat="1" applyFont="1" applyFill="1" applyBorder="1" applyAlignment="1">
      <alignment horizontal="right" vertical="top" wrapText="1"/>
    </xf>
    <xf numFmtId="3" fontId="42" fillId="0" borderId="0" xfId="0" applyNumberFormat="1" applyFont="1" applyBorder="1" applyAlignment="1">
      <alignment horizontal="right" vertical="center" wrapText="1"/>
    </xf>
    <xf numFmtId="3" fontId="38" fillId="0" borderId="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justify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38" fillId="0" borderId="0" xfId="71" applyFont="1" applyAlignment="1">
      <alignment vertical="center"/>
      <protection/>
    </xf>
    <xf numFmtId="0" fontId="38" fillId="0" borderId="0" xfId="71" applyFont="1" applyAlignment="1">
      <alignment vertical="top"/>
      <protection/>
    </xf>
    <xf numFmtId="0" fontId="42" fillId="6" borderId="10" xfId="71" applyFont="1" applyFill="1" applyBorder="1" applyAlignment="1">
      <alignment horizontal="center" vertical="center"/>
      <protection/>
    </xf>
    <xf numFmtId="0" fontId="42" fillId="6" borderId="10" xfId="71" applyFont="1" applyFill="1" applyBorder="1" applyAlignment="1">
      <alignment horizontal="center" vertical="center" wrapText="1"/>
      <protection/>
    </xf>
    <xf numFmtId="0" fontId="38" fillId="0" borderId="10" xfId="71" applyFont="1" applyBorder="1" applyAlignment="1">
      <alignment horizontal="center" vertical="center"/>
      <protection/>
    </xf>
    <xf numFmtId="0" fontId="38" fillId="0" borderId="10" xfId="71" applyFont="1" applyBorder="1" applyAlignment="1">
      <alignment horizontal="center" vertical="top" wrapText="1"/>
      <protection/>
    </xf>
    <xf numFmtId="3" fontId="42" fillId="0" borderId="10" xfId="71" applyNumberFormat="1" applyFont="1" applyBorder="1" applyAlignment="1">
      <alignment vertical="top" wrapText="1"/>
      <protection/>
    </xf>
    <xf numFmtId="0" fontId="38" fillId="0" borderId="10" xfId="71" applyFont="1" applyBorder="1" applyAlignment="1">
      <alignment vertical="top" wrapText="1"/>
      <protection/>
    </xf>
    <xf numFmtId="3" fontId="38" fillId="0" borderId="10" xfId="71" applyNumberFormat="1" applyFont="1" applyBorder="1" applyAlignment="1">
      <alignment vertical="top" wrapText="1"/>
      <protection/>
    </xf>
    <xf numFmtId="0" fontId="38" fillId="0" borderId="10" xfId="0" applyFont="1" applyBorder="1" applyAlignment="1">
      <alignment vertical="top" wrapText="1"/>
    </xf>
    <xf numFmtId="0" fontId="78" fillId="0" borderId="0" xfId="71" applyFont="1" applyAlignment="1">
      <alignment vertical="center"/>
      <protection/>
    </xf>
    <xf numFmtId="0" fontId="43" fillId="2" borderId="10" xfId="71" applyFont="1" applyFill="1" applyBorder="1" applyAlignment="1">
      <alignment vertical="top" wrapText="1"/>
      <protection/>
    </xf>
    <xf numFmtId="0" fontId="43" fillId="2" borderId="10" xfId="71" applyFont="1" applyFill="1" applyBorder="1" applyAlignment="1">
      <alignment horizontal="center" vertical="top" wrapText="1"/>
      <protection/>
    </xf>
    <xf numFmtId="3" fontId="38" fillId="0" borderId="10" xfId="0" applyNumberFormat="1" applyFont="1" applyBorder="1" applyAlignment="1">
      <alignment vertical="top" wrapText="1"/>
    </xf>
    <xf numFmtId="0" fontId="38" fillId="0" borderId="0" xfId="71" applyFont="1" applyBorder="1" applyAlignment="1">
      <alignment horizontal="center" vertical="center"/>
      <protection/>
    </xf>
    <xf numFmtId="0" fontId="38" fillId="0" borderId="0" xfId="71" applyFont="1" applyBorder="1" applyAlignment="1">
      <alignment vertical="center"/>
      <protection/>
    </xf>
    <xf numFmtId="0" fontId="79" fillId="0" borderId="0" xfId="71" applyFont="1">
      <alignment/>
      <protection/>
    </xf>
    <xf numFmtId="0" fontId="79" fillId="0" borderId="0" xfId="71" applyFont="1" applyAlignment="1">
      <alignment vertical="center"/>
      <protection/>
    </xf>
    <xf numFmtId="0" fontId="38" fillId="0" borderId="0" xfId="71" applyFont="1">
      <alignment/>
      <protection/>
    </xf>
    <xf numFmtId="0" fontId="44" fillId="0" borderId="0" xfId="71" applyFont="1">
      <alignment/>
      <protection/>
    </xf>
    <xf numFmtId="0" fontId="41" fillId="0" borderId="10" xfId="7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0" fillId="0" borderId="0" xfId="71" applyFont="1">
      <alignment/>
      <protection/>
    </xf>
    <xf numFmtId="3" fontId="48" fillId="0" borderId="10" xfId="71" applyNumberFormat="1" applyFont="1" applyBorder="1" applyAlignment="1">
      <alignment horizontal="right" vertical="top" wrapText="1"/>
      <protection/>
    </xf>
    <xf numFmtId="3" fontId="48" fillId="0" borderId="10" xfId="0" applyNumberFormat="1" applyFont="1" applyBorder="1" applyAlignment="1">
      <alignment horizontal="right" vertical="top" wrapText="1"/>
    </xf>
    <xf numFmtId="0" fontId="48" fillId="0" borderId="0" xfId="71" applyFont="1">
      <alignment/>
      <protection/>
    </xf>
    <xf numFmtId="0" fontId="42" fillId="2" borderId="10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left" vertical="top" wrapText="1"/>
    </xf>
    <xf numFmtId="3" fontId="42" fillId="2" borderId="10" xfId="71" applyNumberFormat="1" applyFont="1" applyFill="1" applyBorder="1" applyAlignment="1">
      <alignment vertical="top" wrapText="1"/>
      <protection/>
    </xf>
    <xf numFmtId="3" fontId="42" fillId="2" borderId="10" xfId="0" applyNumberFormat="1" applyFont="1" applyFill="1" applyBorder="1" applyAlignment="1">
      <alignment vertical="top" wrapText="1"/>
    </xf>
    <xf numFmtId="0" fontId="38" fillId="2" borderId="10" xfId="0" applyFont="1" applyFill="1" applyBorder="1" applyAlignment="1">
      <alignment horizontal="center" vertical="top" wrapText="1"/>
    </xf>
    <xf numFmtId="3" fontId="38" fillId="2" borderId="10" xfId="71" applyNumberFormat="1" applyFont="1" applyFill="1" applyBorder="1" applyAlignment="1">
      <alignment vertical="top" wrapText="1"/>
      <protection/>
    </xf>
    <xf numFmtId="3" fontId="38" fillId="2" borderId="10" xfId="0" applyNumberFormat="1" applyFont="1" applyFill="1" applyBorder="1" applyAlignment="1">
      <alignment horizontal="right" vertical="top" wrapText="1"/>
    </xf>
    <xf numFmtId="3" fontId="44" fillId="2" borderId="10" xfId="71" applyNumberFormat="1" applyFont="1" applyFill="1" applyBorder="1" applyAlignment="1">
      <alignment horizontal="center" vertical="top" wrapText="1"/>
      <protection/>
    </xf>
    <xf numFmtId="3" fontId="42" fillId="2" borderId="10" xfId="0" applyNumberFormat="1" applyFont="1" applyFill="1" applyBorder="1" applyAlignment="1">
      <alignment horizontal="left" vertical="top" wrapText="1"/>
    </xf>
    <xf numFmtId="3" fontId="42" fillId="2" borderId="10" xfId="0" applyNumberFormat="1" applyFont="1" applyFill="1" applyBorder="1" applyAlignment="1">
      <alignment horizontal="right" vertical="top" wrapText="1"/>
    </xf>
    <xf numFmtId="3" fontId="38" fillId="2" borderId="10" xfId="0" applyNumberFormat="1" applyFont="1" applyFill="1" applyBorder="1" applyAlignment="1">
      <alignment vertical="top" wrapText="1"/>
    </xf>
    <xf numFmtId="2" fontId="42" fillId="2" borderId="10" xfId="0" applyNumberFormat="1" applyFont="1" applyFill="1" applyBorder="1" applyAlignment="1">
      <alignment horizontal="center" vertical="top" wrapText="1"/>
    </xf>
    <xf numFmtId="3" fontId="38" fillId="2" borderId="10" xfId="71" applyNumberFormat="1" applyFont="1" applyFill="1" applyBorder="1" applyAlignment="1">
      <alignment horizontal="right" vertical="top" wrapText="1"/>
      <protection/>
    </xf>
    <xf numFmtId="3" fontId="48" fillId="2" borderId="10" xfId="71" applyNumberFormat="1" applyFont="1" applyFill="1" applyBorder="1" applyAlignment="1">
      <alignment vertical="top" wrapText="1"/>
      <protection/>
    </xf>
    <xf numFmtId="2" fontId="42" fillId="2" borderId="10" xfId="0" applyNumberFormat="1" applyFont="1" applyFill="1" applyBorder="1" applyAlignment="1">
      <alignment horizontal="left" vertical="top" wrapText="1"/>
    </xf>
    <xf numFmtId="2" fontId="38" fillId="0" borderId="10" xfId="0" applyNumberFormat="1" applyFont="1" applyBorder="1" applyAlignment="1">
      <alignment horizontal="center" vertical="top" wrapText="1"/>
    </xf>
    <xf numFmtId="2" fontId="38" fillId="0" borderId="10" xfId="0" applyNumberFormat="1" applyFont="1" applyBorder="1" applyAlignment="1">
      <alignment vertical="top" wrapText="1"/>
    </xf>
    <xf numFmtId="3" fontId="42" fillId="0" borderId="10" xfId="71" applyNumberFormat="1" applyFont="1" applyBorder="1" applyAlignment="1">
      <alignment horizontal="center" vertical="top" wrapText="1"/>
      <protection/>
    </xf>
    <xf numFmtId="3" fontId="42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49" fontId="42" fillId="6" borderId="10" xfId="0" applyNumberFormat="1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3" fontId="42" fillId="6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justify" vertical="center"/>
    </xf>
    <xf numFmtId="0" fontId="35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 wrapText="1"/>
    </xf>
    <xf numFmtId="3" fontId="37" fillId="12" borderId="10" xfId="0" applyNumberFormat="1" applyFont="1" applyFill="1" applyBorder="1" applyAlignment="1">
      <alignment horizontal="right" vertical="center" wrapText="1"/>
    </xf>
    <xf numFmtId="0" fontId="39" fillId="6" borderId="10" xfId="0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left" vertical="center" wrapText="1"/>
    </xf>
    <xf numFmtId="49" fontId="42" fillId="6" borderId="10" xfId="0" applyNumberFormat="1" applyFont="1" applyFill="1" applyBorder="1" applyAlignment="1">
      <alignment horizontal="right" vertical="center"/>
    </xf>
    <xf numFmtId="0" fontId="42" fillId="6" borderId="1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left" vertical="center" wrapText="1"/>
    </xf>
    <xf numFmtId="0" fontId="42" fillId="12" borderId="10" xfId="0" applyFont="1" applyFill="1" applyBorder="1" applyAlignment="1">
      <alignment horizontal="right" vertical="center"/>
    </xf>
    <xf numFmtId="49" fontId="42" fillId="6" borderId="10" xfId="0" applyNumberFormat="1" applyFont="1" applyFill="1" applyBorder="1" applyAlignment="1">
      <alignment horizontal="right" vertical="center" wrapText="1"/>
    </xf>
    <xf numFmtId="49" fontId="37" fillId="12" borderId="10" xfId="0" applyNumberFormat="1" applyFont="1" applyFill="1" applyBorder="1" applyAlignment="1">
      <alignment horizontal="right" vertical="center"/>
    </xf>
    <xf numFmtId="49" fontId="56" fillId="2" borderId="0" xfId="0" applyNumberFormat="1" applyFont="1" applyFill="1" applyBorder="1" applyAlignment="1">
      <alignment horizontal="center" vertical="center" wrapText="1"/>
    </xf>
    <xf numFmtId="49" fontId="39" fillId="10" borderId="10" xfId="0" applyNumberFormat="1" applyFont="1" applyFill="1" applyBorder="1" applyAlignment="1">
      <alignment horizontal="center" vertical="center" wrapText="1"/>
    </xf>
    <xf numFmtId="49" fontId="39" fillId="10" borderId="10" xfId="0" applyNumberFormat="1" applyFont="1" applyFill="1" applyBorder="1" applyAlignment="1">
      <alignment horizontal="left" vertical="center" wrapText="1"/>
    </xf>
    <xf numFmtId="0" fontId="39" fillId="10" borderId="10" xfId="0" applyFont="1" applyFill="1" applyBorder="1" applyAlignment="1">
      <alignment horizontal="center" vertical="center" wrapText="1"/>
    </xf>
    <xf numFmtId="3" fontId="39" fillId="10" borderId="10" xfId="0" applyNumberFormat="1" applyFont="1" applyFill="1" applyBorder="1" applyAlignment="1">
      <alignment horizontal="left" vertical="center" wrapText="1"/>
    </xf>
    <xf numFmtId="3" fontId="39" fillId="10" borderId="10" xfId="0" applyNumberFormat="1" applyFont="1" applyFill="1" applyBorder="1" applyAlignment="1">
      <alignment horizontal="center" vertical="center" wrapText="1"/>
    </xf>
    <xf numFmtId="0" fontId="59" fillId="6" borderId="10" xfId="0" applyFont="1" applyFill="1" applyBorder="1" applyAlignment="1">
      <alignment horizontal="right" vertical="center" wrapText="1"/>
    </xf>
    <xf numFmtId="3" fontId="51" fillId="10" borderId="10" xfId="0" applyNumberFormat="1" applyFont="1" applyFill="1" applyBorder="1" applyAlignment="1">
      <alignment horizontal="center" vertical="center" wrapText="1"/>
    </xf>
    <xf numFmtId="49" fontId="36" fillId="2" borderId="0" xfId="0" applyNumberFormat="1" applyFont="1" applyFill="1" applyBorder="1" applyAlignment="1">
      <alignment horizontal="center" vertical="center" wrapText="1"/>
    </xf>
    <xf numFmtId="49" fontId="39" fillId="6" borderId="1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top" wrapText="1"/>
    </xf>
    <xf numFmtId="49" fontId="55" fillId="6" borderId="10" xfId="0" applyNumberFormat="1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49" fontId="42" fillId="6" borderId="10" xfId="0" applyNumberFormat="1" applyFont="1" applyFill="1" applyBorder="1" applyAlignment="1">
      <alignment horizontal="right" vertical="top"/>
    </xf>
    <xf numFmtId="0" fontId="55" fillId="6" borderId="10" xfId="0" applyFont="1" applyFill="1" applyBorder="1" applyAlignment="1">
      <alignment vertical="center" wrapText="1"/>
    </xf>
    <xf numFmtId="0" fontId="55" fillId="6" borderId="10" xfId="0" applyFont="1" applyFill="1" applyBorder="1" applyAlignment="1">
      <alignment horizontal="center" vertical="center"/>
    </xf>
    <xf numFmtId="49" fontId="36" fillId="2" borderId="0" xfId="0" applyNumberFormat="1" applyFont="1" applyFill="1" applyBorder="1" applyAlignment="1">
      <alignment horizontal="center" vertical="top" wrapText="1"/>
    </xf>
    <xf numFmtId="49" fontId="51" fillId="10" borderId="10" xfId="0" applyNumberFormat="1" applyFont="1" applyFill="1" applyBorder="1" applyAlignment="1">
      <alignment horizontal="center" vertical="center" wrapText="1"/>
    </xf>
    <xf numFmtId="49" fontId="51" fillId="10" borderId="10" xfId="0" applyNumberFormat="1" applyFont="1" applyFill="1" applyBorder="1" applyAlignment="1">
      <alignment horizontal="left" vertical="center" wrapText="1"/>
    </xf>
    <xf numFmtId="0" fontId="51" fillId="10" borderId="10" xfId="0" applyFont="1" applyFill="1" applyBorder="1" applyAlignment="1">
      <alignment horizontal="center" vertical="center" wrapText="1"/>
    </xf>
    <xf numFmtId="3" fontId="51" fillId="10" borderId="10" xfId="0" applyNumberFormat="1" applyFont="1" applyFill="1" applyBorder="1" applyAlignment="1">
      <alignment horizontal="left" vertical="center" wrapText="1"/>
    </xf>
    <xf numFmtId="49" fontId="45" fillId="2" borderId="0" xfId="0" applyNumberFormat="1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wrapText="1"/>
    </xf>
    <xf numFmtId="49" fontId="42" fillId="0" borderId="0" xfId="0" applyNumberFormat="1" applyFont="1" applyBorder="1" applyAlignment="1">
      <alignment horizontal="center" vertical="top"/>
    </xf>
    <xf numFmtId="49" fontId="42" fillId="0" borderId="0" xfId="0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71" applyFont="1" applyBorder="1" applyAlignment="1">
      <alignment horizontal="center" vertical="center" wrapText="1"/>
      <protection/>
    </xf>
    <xf numFmtId="0" fontId="42" fillId="0" borderId="10" xfId="71" applyFont="1" applyBorder="1" applyAlignment="1">
      <alignment horizontal="center" vertical="top" wrapText="1"/>
      <protection/>
    </xf>
    <xf numFmtId="0" fontId="42" fillId="6" borderId="10" xfId="71" applyFont="1" applyFill="1" applyBorder="1" applyAlignment="1">
      <alignment horizontal="center" vertical="center" wrapText="1"/>
      <protection/>
    </xf>
    <xf numFmtId="0" fontId="48" fillId="0" borderId="10" xfId="71" applyFont="1" applyBorder="1" applyAlignment="1">
      <alignment horizontal="left" vertical="top" wrapText="1"/>
      <protection/>
    </xf>
    <xf numFmtId="3" fontId="42" fillId="6" borderId="10" xfId="71" applyNumberFormat="1" applyFont="1" applyFill="1" applyBorder="1" applyAlignment="1">
      <alignment horizontal="right" vertical="top" wrapText="1"/>
      <protection/>
    </xf>
    <xf numFmtId="0" fontId="38" fillId="0" borderId="0" xfId="71" applyFont="1" applyBorder="1" applyAlignment="1">
      <alignment horizontal="left"/>
      <protection/>
    </xf>
    <xf numFmtId="0" fontId="45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e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defaultGridColor="0" view="pageBreakPreview" zoomScaleSheetLayoutView="100" colorId="15" workbookViewId="0" topLeftCell="A1">
      <selection activeCell="L19" sqref="L19"/>
    </sheetView>
  </sheetViews>
  <sheetFormatPr defaultColWidth="9.00390625" defaultRowHeight="12.75"/>
  <cols>
    <col min="1" max="1" width="7.375" style="1" customWidth="1"/>
    <col min="2" max="2" width="49.875" style="2" customWidth="1"/>
    <col min="3" max="3" width="16.75390625" style="2" customWidth="1"/>
    <col min="4" max="4" width="17.375" style="2" customWidth="1"/>
    <col min="5" max="5" width="16.25390625" style="3" customWidth="1"/>
    <col min="6" max="16384" width="11.625" style="4" customWidth="1"/>
  </cols>
  <sheetData>
    <row r="1" spans="1:5" ht="16.5" customHeight="1">
      <c r="A1" s="523" t="s">
        <v>0</v>
      </c>
      <c r="B1" s="523"/>
      <c r="C1" s="523"/>
      <c r="D1" s="523"/>
      <c r="E1" s="523"/>
    </row>
    <row r="2" spans="1:5" ht="19.5">
      <c r="A2" s="5"/>
      <c r="B2" s="5"/>
      <c r="C2" s="5"/>
      <c r="D2" s="5"/>
      <c r="E2" s="5"/>
    </row>
    <row r="3" spans="1:5" s="8" customFormat="1" ht="44.25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</row>
    <row r="4" spans="1:5" ht="16.5">
      <c r="A4" s="9" t="str">
        <f>'zał 2'!A6</f>
        <v>020</v>
      </c>
      <c r="B4" s="10" t="str">
        <f>'zał 2'!D6</f>
        <v>Leśnictwo</v>
      </c>
      <c r="C4" s="11">
        <f aca="true" t="shared" si="0" ref="C4:C14">D4+E4</f>
        <v>5331</v>
      </c>
      <c r="D4" s="11">
        <f>'zał 2'!F6</f>
        <v>5331</v>
      </c>
      <c r="E4" s="11">
        <f>'zał 2'!H6</f>
        <v>0</v>
      </c>
    </row>
    <row r="5" spans="1:5" ht="33">
      <c r="A5" s="9" t="s">
        <v>6</v>
      </c>
      <c r="B5" s="10" t="str">
        <f>'zał 2'!D9</f>
        <v>Wytwarzanie i zaopatrzenie w energię elektryczną, gaz i wodę </v>
      </c>
      <c r="C5" s="11">
        <f t="shared" si="0"/>
        <v>676200</v>
      </c>
      <c r="D5" s="11">
        <f>'zał 2'!F9</f>
        <v>0</v>
      </c>
      <c r="E5" s="11">
        <f>'zał 2'!H9</f>
        <v>676200</v>
      </c>
    </row>
    <row r="6" spans="1:5" ht="16.5">
      <c r="A6" s="9" t="s">
        <v>7</v>
      </c>
      <c r="B6" s="10" t="str">
        <f>'zał 2'!D12</f>
        <v>Transport  i  łączność</v>
      </c>
      <c r="C6" s="11">
        <f t="shared" si="0"/>
        <v>2043413</v>
      </c>
      <c r="D6" s="11">
        <f>'zał 2'!F12</f>
        <v>0</v>
      </c>
      <c r="E6" s="11">
        <f>'zał 2'!H12</f>
        <v>2043413</v>
      </c>
    </row>
    <row r="7" spans="1:5" ht="16.5">
      <c r="A7" s="9" t="s">
        <v>8</v>
      </c>
      <c r="B7" s="10" t="str">
        <f>'zał 2'!D16</f>
        <v>Gospodarka  mieszkaniowa</v>
      </c>
      <c r="C7" s="11">
        <f t="shared" si="0"/>
        <v>1646500</v>
      </c>
      <c r="D7" s="11">
        <f>'zał 2'!F16</f>
        <v>373500</v>
      </c>
      <c r="E7" s="11">
        <f>'zał 2'!H16</f>
        <v>1273000</v>
      </c>
    </row>
    <row r="8" spans="1:5" ht="16.5">
      <c r="A8" s="9" t="s">
        <v>9</v>
      </c>
      <c r="B8" s="10" t="str">
        <f>'zał 2'!D24</f>
        <v>Działalność usługowa </v>
      </c>
      <c r="C8" s="11">
        <f t="shared" si="0"/>
        <v>47500</v>
      </c>
      <c r="D8" s="11">
        <f>'zał 2'!F24+'zał 4'!F8</f>
        <v>47500</v>
      </c>
      <c r="E8" s="11">
        <f>'zał 2'!H24+'zał 4'!H8</f>
        <v>0</v>
      </c>
    </row>
    <row r="9" spans="1:5" ht="16.5">
      <c r="A9" s="9" t="s">
        <v>10</v>
      </c>
      <c r="B9" s="10" t="str">
        <f>'zał 2'!D27</f>
        <v>Administracja  publiczna</v>
      </c>
      <c r="C9" s="11">
        <f t="shared" si="0"/>
        <v>157400</v>
      </c>
      <c r="D9" s="11">
        <f>'zał 2'!F27+'zał 3'!F6</f>
        <v>157400</v>
      </c>
      <c r="E9" s="11">
        <f>'zał 2'!H27+'zał 3'!H6</f>
        <v>0</v>
      </c>
    </row>
    <row r="10" spans="1:5" ht="49.5">
      <c r="A10" s="9" t="s">
        <v>11</v>
      </c>
      <c r="B10" s="10" t="str">
        <f>'zał 3'!D9</f>
        <v>Urzędy naczelnych organów władzy 
państwowej, kontroli i ochrony prawa oraz sądownictwa  </v>
      </c>
      <c r="C10" s="11">
        <f t="shared" si="0"/>
        <v>3270</v>
      </c>
      <c r="D10" s="11">
        <f>'zał 3'!F9</f>
        <v>3270</v>
      </c>
      <c r="E10" s="11">
        <f>'zał 3'!H9</f>
        <v>0</v>
      </c>
    </row>
    <row r="11" spans="1:5" ht="66">
      <c r="A11" s="9" t="s">
        <v>12</v>
      </c>
      <c r="B11" s="10" t="str">
        <f>'zał 2'!D32</f>
        <v>Dochody  od  osób  prawnych, od osób  fizycznych i  od  innych  jednostek  nieposiadających  osobowości  prawnej  oraz  wydatki  związane  z  ich  poborem   </v>
      </c>
      <c r="C11" s="11">
        <f t="shared" si="0"/>
        <v>19020671</v>
      </c>
      <c r="D11" s="11">
        <f>'zał 2'!F32</f>
        <v>19020671</v>
      </c>
      <c r="E11" s="11">
        <f>'zał 2'!H32</f>
        <v>0</v>
      </c>
    </row>
    <row r="12" spans="1:5" ht="16.5">
      <c r="A12" s="9" t="s">
        <v>13</v>
      </c>
      <c r="B12" s="10" t="str">
        <f>'zał 2'!D68</f>
        <v>Różne  rozliczenia</v>
      </c>
      <c r="C12" s="11">
        <f t="shared" si="0"/>
        <v>13366281</v>
      </c>
      <c r="D12" s="11">
        <f>'zał 2'!F68</f>
        <v>13366281</v>
      </c>
      <c r="E12" s="11">
        <f>'zał 2'!H68</f>
        <v>0</v>
      </c>
    </row>
    <row r="13" spans="1:5" ht="16.5">
      <c r="A13" s="9" t="s">
        <v>14</v>
      </c>
      <c r="B13" s="10" t="str">
        <f>'zał 2'!D75</f>
        <v>Oświata  i  wychowanie</v>
      </c>
      <c r="C13" s="11">
        <f t="shared" si="0"/>
        <v>2390275.46</v>
      </c>
      <c r="D13" s="11">
        <f>'zał 2'!F75</f>
        <v>2390275.46</v>
      </c>
      <c r="E13" s="11">
        <f>'zał 2'!H75</f>
        <v>0</v>
      </c>
    </row>
    <row r="14" spans="1:5" ht="16.5">
      <c r="A14" s="9" t="s">
        <v>15</v>
      </c>
      <c r="B14" s="10" t="str">
        <f>'zał 2'!D100</f>
        <v>Pomoc  społeczna</v>
      </c>
      <c r="C14" s="11">
        <f t="shared" si="0"/>
        <v>7180600</v>
      </c>
      <c r="D14" s="11">
        <f>'zał 2'!F100+'zał 3'!F12</f>
        <v>7180600</v>
      </c>
      <c r="E14" s="11">
        <f>'zał 2'!H100+'zał 3'!H12</f>
        <v>0</v>
      </c>
    </row>
    <row r="15" spans="1:5" ht="16.5">
      <c r="A15" s="9">
        <v>853</v>
      </c>
      <c r="B15" s="10" t="str">
        <f>'zał 2'!D118</f>
        <v>Pozostałe zadania z zakresu polityki społecznej</v>
      </c>
      <c r="C15" s="11">
        <f>'zał 2'!E118</f>
        <v>186100</v>
      </c>
      <c r="D15" s="11">
        <f>'zał 2'!F118</f>
        <v>186100</v>
      </c>
      <c r="E15" s="11">
        <f>'zał 2'!H118</f>
        <v>0</v>
      </c>
    </row>
    <row r="16" spans="1:5" ht="16.5">
      <c r="A16" s="9" t="s">
        <v>16</v>
      </c>
      <c r="B16" s="10" t="str">
        <f>'zał 2'!D122</f>
        <v>Gospodarka komunalna i ochrona  środowiska</v>
      </c>
      <c r="C16" s="11">
        <f>D16+E16</f>
        <v>144500</v>
      </c>
      <c r="D16" s="11">
        <f>'zał 2'!F122</f>
        <v>144500</v>
      </c>
      <c r="E16" s="11">
        <f>'zał 2'!H122</f>
        <v>0</v>
      </c>
    </row>
    <row r="17" spans="1:5" ht="16.5">
      <c r="A17" s="9" t="s">
        <v>17</v>
      </c>
      <c r="B17" s="10" t="str">
        <f>'zał 2'!D129</f>
        <v>Kultura  i  ochrona  dziedzictwa  narodowego </v>
      </c>
      <c r="C17" s="11">
        <f>D17+E17</f>
        <v>7000</v>
      </c>
      <c r="D17" s="11">
        <f>'zał 2'!F129</f>
        <v>7000</v>
      </c>
      <c r="E17" s="11">
        <f>'zał 2'!H129</f>
        <v>0</v>
      </c>
    </row>
    <row r="18" spans="1:5" ht="16.5">
      <c r="A18" s="9" t="s">
        <v>18</v>
      </c>
      <c r="B18" s="10" t="str">
        <f>'zał 2'!D132</f>
        <v>Kultura fizyczna</v>
      </c>
      <c r="C18" s="11">
        <f>D18+E18</f>
        <v>1201900</v>
      </c>
      <c r="D18" s="11">
        <f>'zał 2'!F132</f>
        <v>101900</v>
      </c>
      <c r="E18" s="11">
        <f>'zał 2'!H132</f>
        <v>1100000</v>
      </c>
    </row>
    <row r="19" spans="1:5" s="13" customFormat="1" ht="16.5" customHeight="1">
      <c r="A19" s="524" t="s">
        <v>19</v>
      </c>
      <c r="B19" s="524"/>
      <c r="C19" s="12">
        <f>SUM(C4:C18)</f>
        <v>48076941.46</v>
      </c>
      <c r="D19" s="12">
        <f>SUM(D4:D18)</f>
        <v>42984328.46</v>
      </c>
      <c r="E19" s="12">
        <f>SUM(E4:E18)</f>
        <v>5092613</v>
      </c>
    </row>
  </sheetData>
  <sheetProtection selectLockedCells="1" selectUnlockedCells="1"/>
  <mergeCells count="2">
    <mergeCell ref="A1:E1"/>
    <mergeCell ref="A19:B19"/>
  </mergeCells>
  <printOptions horizontalCentered="1"/>
  <pageMargins left="0.5902777777777778" right="0.5902777777777778" top="0.9534722222222223" bottom="0.7555555555555555" header="0.5902777777777778" footer="0.5902777777777778"/>
  <pageSetup horizontalDpi="300" verticalDpi="300" orientation="portrait" paperSize="9" scale="85" r:id="rId1"/>
  <headerFooter alignWithMargins="0">
    <oddHeader>&amp;R&amp;"Times New Roman,Normalny"&amp;12Załącznik Nr 1 do  Uchwały  Nr III/12/2010 Rady Miejskiej w Barlinku z dnia 30 grudnia 2010</oddHeader>
    <oddFooter>&amp;C&amp;"Times New Roman,Normalny"&amp;12Strona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showGridLines="0" defaultGridColor="0" view="pageBreakPreview" zoomScaleSheetLayoutView="100" colorId="15" workbookViewId="0" topLeftCell="A7">
      <selection activeCell="A17" sqref="A17"/>
    </sheetView>
  </sheetViews>
  <sheetFormatPr defaultColWidth="9.00390625" defaultRowHeight="12.75"/>
  <cols>
    <col min="1" max="1" width="5.625" style="15" customWidth="1"/>
    <col min="2" max="2" width="8.75390625" style="15" customWidth="1"/>
    <col min="3" max="3" width="6.875" style="15" customWidth="1"/>
    <col min="4" max="4" width="44.875" style="92" customWidth="1"/>
    <col min="5" max="5" width="14.875" style="92" customWidth="1"/>
    <col min="6" max="6" width="10.625" style="92" customWidth="1"/>
    <col min="7" max="7" width="13.375" style="92" customWidth="1"/>
    <col min="8" max="8" width="10.625" style="92" customWidth="1"/>
    <col min="9" max="11" width="13.375" style="92" customWidth="1"/>
    <col min="12" max="12" width="10.625" style="92" customWidth="1"/>
    <col min="13" max="13" width="13.375" style="92" customWidth="1"/>
    <col min="14" max="14" width="10.625" style="92" customWidth="1"/>
    <col min="15" max="15" width="13.375" style="92" customWidth="1"/>
    <col min="16" max="17" width="10.625" style="92" customWidth="1"/>
    <col min="18" max="18" width="12.25390625" style="92" customWidth="1"/>
    <col min="19" max="16384" width="9.00390625" style="15" customWidth="1"/>
  </cols>
  <sheetData>
    <row r="1" spans="1:18" ht="54.75" customHeight="1">
      <c r="A1" s="529" t="s">
        <v>349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s="231" customFormat="1" ht="14.25" customHeight="1">
      <c r="A2" s="536" t="s">
        <v>1</v>
      </c>
      <c r="B2" s="536" t="s">
        <v>21</v>
      </c>
      <c r="C2" s="536" t="s">
        <v>22</v>
      </c>
      <c r="D2" s="536" t="s">
        <v>186</v>
      </c>
      <c r="E2" s="536" t="s">
        <v>187</v>
      </c>
      <c r="F2" s="537" t="s">
        <v>188</v>
      </c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</row>
    <row r="3" spans="1:18" s="231" customFormat="1" ht="14.25" customHeight="1">
      <c r="A3" s="536"/>
      <c r="B3" s="536"/>
      <c r="C3" s="536"/>
      <c r="D3" s="536"/>
      <c r="E3" s="536"/>
      <c r="F3" s="538" t="s">
        <v>177</v>
      </c>
      <c r="G3" s="539" t="s">
        <v>25</v>
      </c>
      <c r="H3" s="539"/>
      <c r="I3" s="539"/>
      <c r="J3" s="539"/>
      <c r="K3" s="539"/>
      <c r="L3" s="539"/>
      <c r="M3" s="539"/>
      <c r="N3" s="539"/>
      <c r="O3" s="540" t="s">
        <v>189</v>
      </c>
      <c r="P3" s="539" t="s">
        <v>25</v>
      </c>
      <c r="Q3" s="539"/>
      <c r="R3" s="539"/>
    </row>
    <row r="4" spans="1:18" s="231" customFormat="1" ht="54.75" customHeight="1">
      <c r="A4" s="536"/>
      <c r="B4" s="536"/>
      <c r="C4" s="536"/>
      <c r="D4" s="536"/>
      <c r="E4" s="536"/>
      <c r="F4" s="538"/>
      <c r="G4" s="538" t="s">
        <v>190</v>
      </c>
      <c r="H4" s="539" t="s">
        <v>191</v>
      </c>
      <c r="I4" s="539"/>
      <c r="J4" s="542" t="s">
        <v>192</v>
      </c>
      <c r="K4" s="542" t="s">
        <v>193</v>
      </c>
      <c r="L4" s="542" t="s">
        <v>26</v>
      </c>
      <c r="M4" s="542" t="s">
        <v>194</v>
      </c>
      <c r="N4" s="542" t="s">
        <v>195</v>
      </c>
      <c r="O4" s="540"/>
      <c r="P4" s="542" t="s">
        <v>196</v>
      </c>
      <c r="Q4" s="233" t="s">
        <v>25</v>
      </c>
      <c r="R4" s="542" t="s">
        <v>197</v>
      </c>
    </row>
    <row r="5" spans="1:18" ht="94.5">
      <c r="A5" s="536"/>
      <c r="B5" s="536"/>
      <c r="C5" s="536"/>
      <c r="D5" s="536"/>
      <c r="E5" s="536"/>
      <c r="F5" s="538"/>
      <c r="G5" s="538"/>
      <c r="H5" s="138" t="s">
        <v>198</v>
      </c>
      <c r="I5" s="232" t="s">
        <v>199</v>
      </c>
      <c r="J5" s="542"/>
      <c r="K5" s="542"/>
      <c r="L5" s="542"/>
      <c r="M5" s="542"/>
      <c r="N5" s="542"/>
      <c r="O5" s="540"/>
      <c r="P5" s="542"/>
      <c r="Q5" s="234" t="s">
        <v>200</v>
      </c>
      <c r="R5" s="542"/>
    </row>
    <row r="6" spans="1:18" ht="15.75">
      <c r="A6" s="22" t="s">
        <v>350</v>
      </c>
      <c r="B6" s="22" t="s">
        <v>351</v>
      </c>
      <c r="C6" s="22" t="s">
        <v>352</v>
      </c>
      <c r="D6" s="22" t="s">
        <v>353</v>
      </c>
      <c r="E6" s="22" t="s">
        <v>354</v>
      </c>
      <c r="F6" s="22" t="s">
        <v>355</v>
      </c>
      <c r="G6" s="22" t="s">
        <v>356</v>
      </c>
      <c r="H6" s="22" t="s">
        <v>357</v>
      </c>
      <c r="I6" s="22" t="s">
        <v>358</v>
      </c>
      <c r="J6" s="22" t="s">
        <v>359</v>
      </c>
      <c r="K6" s="22" t="s">
        <v>360</v>
      </c>
      <c r="L6" s="22" t="s">
        <v>361</v>
      </c>
      <c r="M6" s="22" t="s">
        <v>362</v>
      </c>
      <c r="N6" s="22" t="s">
        <v>363</v>
      </c>
      <c r="O6" s="22" t="s">
        <v>364</v>
      </c>
      <c r="P6" s="22" t="s">
        <v>365</v>
      </c>
      <c r="Q6" s="22" t="s">
        <v>366</v>
      </c>
      <c r="R6" s="22" t="s">
        <v>367</v>
      </c>
    </row>
    <row r="7" spans="1:18" ht="31.5">
      <c r="A7" s="26">
        <v>400</v>
      </c>
      <c r="B7" s="26"/>
      <c r="C7" s="26"/>
      <c r="D7" s="26" t="s">
        <v>33</v>
      </c>
      <c r="E7" s="35">
        <f aca="true" t="shared" si="0" ref="E7:R8">E8</f>
        <v>676200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676200</v>
      </c>
      <c r="P7" s="35">
        <f t="shared" si="0"/>
        <v>676200</v>
      </c>
      <c r="Q7" s="35">
        <f t="shared" si="0"/>
        <v>676200</v>
      </c>
      <c r="R7" s="35">
        <f t="shared" si="0"/>
        <v>0</v>
      </c>
    </row>
    <row r="8" spans="1:18" ht="15.75">
      <c r="A8" s="36"/>
      <c r="B8" s="36">
        <v>40002</v>
      </c>
      <c r="C8" s="36"/>
      <c r="D8" s="37" t="s">
        <v>34</v>
      </c>
      <c r="E8" s="38">
        <f t="shared" si="0"/>
        <v>676200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676200</v>
      </c>
      <c r="P8" s="38">
        <f t="shared" si="0"/>
        <v>676200</v>
      </c>
      <c r="Q8" s="38">
        <f t="shared" si="0"/>
        <v>676200</v>
      </c>
      <c r="R8" s="38">
        <f t="shared" si="0"/>
        <v>0</v>
      </c>
    </row>
    <row r="9" spans="1:18" ht="15.75">
      <c r="A9" s="36"/>
      <c r="B9" s="39"/>
      <c r="C9" s="39">
        <v>6057</v>
      </c>
      <c r="D9" s="40" t="s">
        <v>206</v>
      </c>
      <c r="E9" s="41">
        <f>F9+P9</f>
        <v>676200</v>
      </c>
      <c r="F9" s="248">
        <f>G9+J9+K9+L9+M9+N9</f>
        <v>0</v>
      </c>
      <c r="G9" s="248">
        <f>H9+I9</f>
        <v>0</v>
      </c>
      <c r="H9" s="42"/>
      <c r="I9" s="42"/>
      <c r="J9" s="42"/>
      <c r="K9" s="42"/>
      <c r="L9" s="42"/>
      <c r="M9" s="42"/>
      <c r="N9" s="42"/>
      <c r="O9" s="42">
        <f>P9+R9</f>
        <v>676200</v>
      </c>
      <c r="P9" s="41">
        <f>Q9</f>
        <v>676200</v>
      </c>
      <c r="Q9" s="41">
        <f>'zał 7'!Q14</f>
        <v>676200</v>
      </c>
      <c r="R9" s="249"/>
    </row>
    <row r="10" spans="1:18" ht="15.75">
      <c r="A10" s="43">
        <v>600</v>
      </c>
      <c r="B10" s="43"/>
      <c r="C10" s="43"/>
      <c r="D10" s="26" t="s">
        <v>36</v>
      </c>
      <c r="E10" s="27">
        <f>E11</f>
        <v>1885413</v>
      </c>
      <c r="F10" s="27">
        <f>F11</f>
        <v>0</v>
      </c>
      <c r="G10" s="27"/>
      <c r="H10" s="27"/>
      <c r="I10" s="27"/>
      <c r="J10" s="27"/>
      <c r="K10" s="27"/>
      <c r="L10" s="27"/>
      <c r="M10" s="27"/>
      <c r="N10" s="27"/>
      <c r="O10" s="27">
        <f>O11</f>
        <v>1885413</v>
      </c>
      <c r="P10" s="27">
        <f>P11</f>
        <v>1885413</v>
      </c>
      <c r="Q10" s="27">
        <f>Q11</f>
        <v>1885413</v>
      </c>
      <c r="R10" s="27">
        <f>R11</f>
        <v>0</v>
      </c>
    </row>
    <row r="11" spans="1:18" ht="15.75">
      <c r="A11" s="44"/>
      <c r="B11" s="44">
        <v>60016</v>
      </c>
      <c r="C11" s="44"/>
      <c r="D11" s="45" t="s">
        <v>37</v>
      </c>
      <c r="E11" s="30">
        <f aca="true" t="shared" si="1" ref="E11:R11">E12+E13</f>
        <v>1885413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0">
        <f t="shared" si="1"/>
        <v>1885413</v>
      </c>
      <c r="P11" s="30">
        <f t="shared" si="1"/>
        <v>1885413</v>
      </c>
      <c r="Q11" s="30">
        <f t="shared" si="1"/>
        <v>1885413</v>
      </c>
      <c r="R11" s="30">
        <f t="shared" si="1"/>
        <v>0</v>
      </c>
    </row>
    <row r="12" spans="1:18" ht="15.75">
      <c r="A12" s="44"/>
      <c r="B12" s="46"/>
      <c r="C12" s="39">
        <v>6057</v>
      </c>
      <c r="D12" s="40" t="s">
        <v>206</v>
      </c>
      <c r="E12" s="41">
        <f>F12+P12</f>
        <v>1850413</v>
      </c>
      <c r="F12" s="248">
        <f>G12+J12+K12+L12+M12+N12</f>
        <v>0</v>
      </c>
      <c r="G12" s="248">
        <f>H12+I12</f>
        <v>0</v>
      </c>
      <c r="H12" s="42"/>
      <c r="I12" s="42"/>
      <c r="J12" s="42"/>
      <c r="K12" s="42"/>
      <c r="L12" s="42"/>
      <c r="M12" s="42"/>
      <c r="N12" s="42"/>
      <c r="O12" s="42">
        <f>P12+R12</f>
        <v>1850413</v>
      </c>
      <c r="P12" s="41">
        <f>Q12</f>
        <v>1850413</v>
      </c>
      <c r="Q12" s="33">
        <f>'zał 7'!Q24</f>
        <v>1850413</v>
      </c>
      <c r="R12" s="33"/>
    </row>
    <row r="13" spans="1:18" ht="63">
      <c r="A13" s="46"/>
      <c r="B13" s="46"/>
      <c r="C13" s="46">
        <v>6627</v>
      </c>
      <c r="D13" s="243" t="s">
        <v>211</v>
      </c>
      <c r="E13" s="41">
        <f>F13+P13</f>
        <v>35000</v>
      </c>
      <c r="F13" s="248">
        <f>G13+J13+K13+L13+M13+N13</f>
        <v>0</v>
      </c>
      <c r="G13" s="248"/>
      <c r="H13" s="42"/>
      <c r="I13" s="42"/>
      <c r="J13" s="42"/>
      <c r="K13" s="42"/>
      <c r="L13" s="42"/>
      <c r="M13" s="42"/>
      <c r="N13" s="42"/>
      <c r="O13" s="42">
        <f>P13+R13</f>
        <v>35000</v>
      </c>
      <c r="P13" s="41">
        <f>Q13</f>
        <v>35000</v>
      </c>
      <c r="Q13" s="33">
        <f>'zał 11'!E26</f>
        <v>35000</v>
      </c>
      <c r="R13" s="33"/>
    </row>
    <row r="14" spans="1:18" ht="15.75">
      <c r="A14" s="43">
        <v>801</v>
      </c>
      <c r="B14" s="43"/>
      <c r="C14" s="43"/>
      <c r="D14" s="26" t="s">
        <v>115</v>
      </c>
      <c r="E14" s="27">
        <f>E30+E15+E32+E36</f>
        <v>800000</v>
      </c>
      <c r="F14" s="27">
        <f>F30+F15+F32+F36</f>
        <v>0</v>
      </c>
      <c r="G14" s="27"/>
      <c r="H14" s="27"/>
      <c r="I14" s="27"/>
      <c r="J14" s="27"/>
      <c r="K14" s="27"/>
      <c r="L14" s="27"/>
      <c r="M14" s="27"/>
      <c r="N14" s="27"/>
      <c r="O14" s="27">
        <f>O30+O15+O32+O36</f>
        <v>800000</v>
      </c>
      <c r="P14" s="27">
        <f>P30+P15+P32+P36</f>
        <v>800000</v>
      </c>
      <c r="Q14" s="27">
        <f>Q30+Q15+Q32+Q36</f>
        <v>800000</v>
      </c>
      <c r="R14" s="27">
        <f>R30+R15+R32+R36</f>
        <v>0</v>
      </c>
    </row>
    <row r="15" spans="1:18" ht="15.75">
      <c r="A15" s="44"/>
      <c r="B15" s="44">
        <v>80101</v>
      </c>
      <c r="C15" s="44"/>
      <c r="D15" s="45" t="s">
        <v>116</v>
      </c>
      <c r="E15" s="30">
        <f>E16</f>
        <v>800000</v>
      </c>
      <c r="F15" s="30">
        <f>F16</f>
        <v>0</v>
      </c>
      <c r="G15" s="30"/>
      <c r="H15" s="30"/>
      <c r="I15" s="30"/>
      <c r="J15" s="30"/>
      <c r="K15" s="30"/>
      <c r="L15" s="30"/>
      <c r="M15" s="30"/>
      <c r="N15" s="30"/>
      <c r="O15" s="30">
        <f>O16</f>
        <v>800000</v>
      </c>
      <c r="P15" s="30">
        <f>P16</f>
        <v>800000</v>
      </c>
      <c r="Q15" s="30">
        <f>Q16</f>
        <v>800000</v>
      </c>
      <c r="R15" s="30">
        <f>R16</f>
        <v>0</v>
      </c>
    </row>
    <row r="16" spans="1:18" ht="15.75">
      <c r="A16" s="44"/>
      <c r="B16" s="46"/>
      <c r="C16" s="39">
        <v>6057</v>
      </c>
      <c r="D16" s="40" t="s">
        <v>273</v>
      </c>
      <c r="E16" s="41">
        <f>F16+P16</f>
        <v>800000</v>
      </c>
      <c r="F16" s="248">
        <f>G16+J16+K16+L16+M16+N16</f>
        <v>0</v>
      </c>
      <c r="G16" s="248">
        <f>H16+I16</f>
        <v>0</v>
      </c>
      <c r="H16" s="33"/>
      <c r="I16" s="33"/>
      <c r="J16" s="33"/>
      <c r="K16" s="33"/>
      <c r="L16" s="33"/>
      <c r="M16" s="33"/>
      <c r="N16" s="33"/>
      <c r="O16" s="42">
        <f>P16+R16</f>
        <v>800000</v>
      </c>
      <c r="P16" s="41">
        <f>Q16</f>
        <v>800000</v>
      </c>
      <c r="Q16" s="33">
        <f>'zał 7'!Q134</f>
        <v>800000</v>
      </c>
      <c r="R16" s="33"/>
    </row>
    <row r="17" spans="1:18" ht="31.5">
      <c r="A17" s="250">
        <v>853</v>
      </c>
      <c r="B17" s="250"/>
      <c r="C17" s="250"/>
      <c r="D17" s="251" t="s">
        <v>145</v>
      </c>
      <c r="E17" s="252">
        <f aca="true" t="shared" si="2" ref="E17:R17">E18</f>
        <v>175800</v>
      </c>
      <c r="F17" s="252">
        <f t="shared" si="2"/>
        <v>175800</v>
      </c>
      <c r="G17" s="252">
        <f t="shared" si="2"/>
        <v>175800</v>
      </c>
      <c r="H17" s="252">
        <f t="shared" si="2"/>
        <v>83400</v>
      </c>
      <c r="I17" s="252">
        <f t="shared" si="2"/>
        <v>92400</v>
      </c>
      <c r="J17" s="252">
        <f t="shared" si="2"/>
        <v>0</v>
      </c>
      <c r="K17" s="252">
        <f t="shared" si="2"/>
        <v>0</v>
      </c>
      <c r="L17" s="252">
        <f t="shared" si="2"/>
        <v>175800</v>
      </c>
      <c r="M17" s="252">
        <f t="shared" si="2"/>
        <v>0</v>
      </c>
      <c r="N17" s="252">
        <f t="shared" si="2"/>
        <v>0</v>
      </c>
      <c r="O17" s="252">
        <f t="shared" si="2"/>
        <v>0</v>
      </c>
      <c r="P17" s="252">
        <f t="shared" si="2"/>
        <v>0</v>
      </c>
      <c r="Q17" s="252">
        <f t="shared" si="2"/>
        <v>0</v>
      </c>
      <c r="R17" s="252">
        <f t="shared" si="2"/>
        <v>0</v>
      </c>
    </row>
    <row r="18" spans="1:18" ht="15.75">
      <c r="A18" s="253"/>
      <c r="B18" s="254">
        <v>85395</v>
      </c>
      <c r="C18" s="254"/>
      <c r="D18" s="255" t="s">
        <v>30</v>
      </c>
      <c r="E18" s="256">
        <f aca="true" t="shared" si="3" ref="E18:R18">SUM(E19:E25)</f>
        <v>175800</v>
      </c>
      <c r="F18" s="256">
        <f t="shared" si="3"/>
        <v>175800</v>
      </c>
      <c r="G18" s="256">
        <f t="shared" si="3"/>
        <v>175800</v>
      </c>
      <c r="H18" s="256">
        <f t="shared" si="3"/>
        <v>83400</v>
      </c>
      <c r="I18" s="256">
        <f t="shared" si="3"/>
        <v>92400</v>
      </c>
      <c r="J18" s="256">
        <f t="shared" si="3"/>
        <v>0</v>
      </c>
      <c r="K18" s="256">
        <f t="shared" si="3"/>
        <v>0</v>
      </c>
      <c r="L18" s="256">
        <f t="shared" si="3"/>
        <v>175800</v>
      </c>
      <c r="M18" s="256">
        <f t="shared" si="3"/>
        <v>0</v>
      </c>
      <c r="N18" s="256">
        <f t="shared" si="3"/>
        <v>0</v>
      </c>
      <c r="O18" s="256">
        <f t="shared" si="3"/>
        <v>0</v>
      </c>
      <c r="P18" s="256">
        <f t="shared" si="3"/>
        <v>0</v>
      </c>
      <c r="Q18" s="256">
        <f t="shared" si="3"/>
        <v>0</v>
      </c>
      <c r="R18" s="256">
        <f t="shared" si="3"/>
        <v>0</v>
      </c>
    </row>
    <row r="19" spans="1:18" ht="15.75">
      <c r="A19" s="253"/>
      <c r="B19" s="253"/>
      <c r="C19" s="253">
        <v>4017</v>
      </c>
      <c r="D19" s="257" t="s">
        <v>265</v>
      </c>
      <c r="E19" s="236">
        <f aca="true" t="shared" si="4" ref="E19:E25">F19+O19</f>
        <v>31650</v>
      </c>
      <c r="F19" s="236">
        <f aca="true" t="shared" si="5" ref="F19:F25">G19+K19+J19+N19+M19</f>
        <v>31650</v>
      </c>
      <c r="G19" s="236">
        <f aca="true" t="shared" si="6" ref="G19:G25">H19+I19</f>
        <v>31650</v>
      </c>
      <c r="H19" s="258">
        <f>'zał 7'!H305</f>
        <v>31650</v>
      </c>
      <c r="I19" s="258">
        <f>'zał 7'!I305</f>
        <v>0</v>
      </c>
      <c r="J19" s="258">
        <f>'zał 7'!J305</f>
        <v>0</v>
      </c>
      <c r="K19" s="258">
        <f>'zał 7'!K305</f>
        <v>0</v>
      </c>
      <c r="L19" s="258">
        <f>'zał 7'!L305</f>
        <v>31650</v>
      </c>
      <c r="M19" s="259"/>
      <c r="N19" s="260"/>
      <c r="O19" s="260"/>
      <c r="P19" s="260"/>
      <c r="Q19" s="260"/>
      <c r="R19" s="42"/>
    </row>
    <row r="20" spans="1:18" ht="15.75">
      <c r="A20" s="253"/>
      <c r="B20" s="253"/>
      <c r="C20" s="253">
        <v>4117</v>
      </c>
      <c r="D20" s="257" t="s">
        <v>284</v>
      </c>
      <c r="E20" s="236">
        <f t="shared" si="4"/>
        <v>9500</v>
      </c>
      <c r="F20" s="236">
        <f t="shared" si="5"/>
        <v>9500</v>
      </c>
      <c r="G20" s="236">
        <f t="shared" si="6"/>
        <v>9500</v>
      </c>
      <c r="H20" s="258">
        <f>'zał 7'!H307</f>
        <v>9500</v>
      </c>
      <c r="I20" s="258">
        <f>'zał 7'!I307</f>
        <v>0</v>
      </c>
      <c r="J20" s="258">
        <f>'zał 7'!J307</f>
        <v>0</v>
      </c>
      <c r="K20" s="258">
        <f>'zał 7'!K307</f>
        <v>0</v>
      </c>
      <c r="L20" s="258">
        <f>'zał 7'!L307</f>
        <v>9500</v>
      </c>
      <c r="M20" s="259"/>
      <c r="N20" s="261"/>
      <c r="O20" s="261"/>
      <c r="P20" s="261"/>
      <c r="Q20" s="261"/>
      <c r="R20" s="42"/>
    </row>
    <row r="21" spans="1:18" ht="15.75">
      <c r="A21" s="253"/>
      <c r="B21" s="253"/>
      <c r="C21" s="253">
        <v>4127</v>
      </c>
      <c r="D21" s="257" t="s">
        <v>285</v>
      </c>
      <c r="E21" s="236">
        <f t="shared" si="4"/>
        <v>1250</v>
      </c>
      <c r="F21" s="236">
        <f t="shared" si="5"/>
        <v>1250</v>
      </c>
      <c r="G21" s="236">
        <f t="shared" si="6"/>
        <v>1250</v>
      </c>
      <c r="H21" s="258">
        <f>'zał 7'!H309</f>
        <v>1250</v>
      </c>
      <c r="I21" s="258">
        <f>'zał 7'!I309</f>
        <v>0</v>
      </c>
      <c r="J21" s="258">
        <f>'zał 7'!J309</f>
        <v>0</v>
      </c>
      <c r="K21" s="258">
        <f>'zał 7'!K309</f>
        <v>0</v>
      </c>
      <c r="L21" s="258">
        <f>'zał 7'!L309</f>
        <v>1250</v>
      </c>
      <c r="M21" s="259"/>
      <c r="N21" s="262"/>
      <c r="O21" s="262"/>
      <c r="P21" s="262"/>
      <c r="Q21" s="262"/>
      <c r="R21" s="42"/>
    </row>
    <row r="22" spans="1:18" ht="15.75">
      <c r="A22" s="253"/>
      <c r="B22" s="253"/>
      <c r="C22" s="253">
        <v>4177</v>
      </c>
      <c r="D22" s="257" t="s">
        <v>303</v>
      </c>
      <c r="E22" s="236">
        <f t="shared" si="4"/>
        <v>26000</v>
      </c>
      <c r="F22" s="236">
        <f t="shared" si="5"/>
        <v>26000</v>
      </c>
      <c r="G22" s="236">
        <f t="shared" si="6"/>
        <v>26000</v>
      </c>
      <c r="H22" s="258">
        <f>'zał 7'!H311</f>
        <v>26000</v>
      </c>
      <c r="I22" s="258">
        <f>'zał 7'!I311</f>
        <v>0</v>
      </c>
      <c r="J22" s="258">
        <f>'zał 7'!J311</f>
        <v>0</v>
      </c>
      <c r="K22" s="258">
        <f>'zał 7'!K311</f>
        <v>0</v>
      </c>
      <c r="L22" s="258">
        <f>'zał 7'!L311</f>
        <v>26000</v>
      </c>
      <c r="M22" s="259"/>
      <c r="N22" s="261"/>
      <c r="O22" s="261"/>
      <c r="P22" s="261"/>
      <c r="Q22" s="261"/>
      <c r="R22" s="42"/>
    </row>
    <row r="23" spans="1:18" ht="15.75">
      <c r="A23" s="253"/>
      <c r="B23" s="253"/>
      <c r="C23" s="253">
        <v>4217</v>
      </c>
      <c r="D23" s="257" t="s">
        <v>276</v>
      </c>
      <c r="E23" s="236">
        <f t="shared" si="4"/>
        <v>15000</v>
      </c>
      <c r="F23" s="236">
        <f t="shared" si="5"/>
        <v>15000</v>
      </c>
      <c r="G23" s="236">
        <f t="shared" si="6"/>
        <v>15000</v>
      </c>
      <c r="H23" s="258">
        <f>'zał 7'!H313</f>
        <v>15000</v>
      </c>
      <c r="I23" s="258">
        <f>'zał 7'!I313</f>
        <v>0</v>
      </c>
      <c r="J23" s="258">
        <f>'zał 7'!J313</f>
        <v>0</v>
      </c>
      <c r="K23" s="258">
        <f>'zał 7'!K313</f>
        <v>0</v>
      </c>
      <c r="L23" s="258">
        <f>'zał 7'!L313</f>
        <v>15000</v>
      </c>
      <c r="M23" s="259"/>
      <c r="N23" s="261"/>
      <c r="O23" s="261"/>
      <c r="P23" s="261"/>
      <c r="Q23" s="261"/>
      <c r="R23" s="42"/>
    </row>
    <row r="24" spans="1:18" ht="15.75">
      <c r="A24" s="253"/>
      <c r="B24" s="253"/>
      <c r="C24" s="253">
        <v>4307</v>
      </c>
      <c r="D24" s="257" t="s">
        <v>287</v>
      </c>
      <c r="E24" s="236">
        <f t="shared" si="4"/>
        <v>92000</v>
      </c>
      <c r="F24" s="236">
        <f t="shared" si="5"/>
        <v>92000</v>
      </c>
      <c r="G24" s="236">
        <f t="shared" si="6"/>
        <v>92000</v>
      </c>
      <c r="H24" s="259"/>
      <c r="I24" s="258">
        <f>'zał 7'!I315</f>
        <v>92000</v>
      </c>
      <c r="J24" s="258">
        <f>'zał 7'!J315</f>
        <v>0</v>
      </c>
      <c r="K24" s="258">
        <f>'zał 7'!K315</f>
        <v>0</v>
      </c>
      <c r="L24" s="258">
        <f>'zał 7'!L315</f>
        <v>92000</v>
      </c>
      <c r="M24" s="259"/>
      <c r="N24" s="261"/>
      <c r="O24" s="261"/>
      <c r="P24" s="261"/>
      <c r="Q24" s="261"/>
      <c r="R24" s="42"/>
    </row>
    <row r="25" spans="1:18" ht="15.75">
      <c r="A25" s="253"/>
      <c r="B25" s="253"/>
      <c r="C25" s="253">
        <v>4417</v>
      </c>
      <c r="D25" s="257" t="s">
        <v>290</v>
      </c>
      <c r="E25" s="236">
        <f t="shared" si="4"/>
        <v>400</v>
      </c>
      <c r="F25" s="236">
        <f t="shared" si="5"/>
        <v>400</v>
      </c>
      <c r="G25" s="236">
        <f t="shared" si="6"/>
        <v>400</v>
      </c>
      <c r="H25" s="259"/>
      <c r="I25" s="258">
        <f>'zał 7'!I317</f>
        <v>400</v>
      </c>
      <c r="J25" s="258">
        <f>'zał 7'!J317</f>
        <v>0</v>
      </c>
      <c r="K25" s="258">
        <f>'zał 7'!K317</f>
        <v>0</v>
      </c>
      <c r="L25" s="258">
        <f>'zał 7'!L317</f>
        <v>400</v>
      </c>
      <c r="M25" s="259"/>
      <c r="N25" s="261"/>
      <c r="O25" s="261"/>
      <c r="P25" s="261"/>
      <c r="Q25" s="261"/>
      <c r="R25" s="42"/>
    </row>
    <row r="26" spans="1:18" ht="15.75">
      <c r="A26" s="43">
        <v>926</v>
      </c>
      <c r="B26" s="43"/>
      <c r="C26" s="43"/>
      <c r="D26" s="88" t="s">
        <v>158</v>
      </c>
      <c r="E26" s="27">
        <f>E33+E27+E35+E39</f>
        <v>1100000</v>
      </c>
      <c r="F26" s="27">
        <f>F33+F27+F35+F39</f>
        <v>0</v>
      </c>
      <c r="G26" s="27"/>
      <c r="H26" s="27"/>
      <c r="I26" s="27"/>
      <c r="J26" s="27"/>
      <c r="K26" s="27"/>
      <c r="L26" s="27"/>
      <c r="M26" s="27"/>
      <c r="N26" s="27"/>
      <c r="O26" s="27">
        <f>O33+O27+O35+O39</f>
        <v>1100000</v>
      </c>
      <c r="P26" s="27">
        <f>P33+P27+P35+P39</f>
        <v>1100000</v>
      </c>
      <c r="Q26" s="27">
        <f>Q33+Q27+Q35+Q39</f>
        <v>1100000</v>
      </c>
      <c r="R26" s="27">
        <f>R33+R27+R35+R39</f>
        <v>0</v>
      </c>
    </row>
    <row r="27" spans="1:18" ht="15.75">
      <c r="A27" s="44"/>
      <c r="B27" s="44">
        <v>92601</v>
      </c>
      <c r="C27" s="44"/>
      <c r="D27" s="45" t="s">
        <v>159</v>
      </c>
      <c r="E27" s="30">
        <f>E28</f>
        <v>1100000</v>
      </c>
      <c r="F27" s="30">
        <f>F28</f>
        <v>0</v>
      </c>
      <c r="G27" s="30"/>
      <c r="H27" s="30"/>
      <c r="I27" s="30"/>
      <c r="J27" s="30"/>
      <c r="K27" s="30"/>
      <c r="L27" s="30"/>
      <c r="M27" s="30"/>
      <c r="N27" s="30"/>
      <c r="O27" s="30">
        <f>O28</f>
        <v>1100000</v>
      </c>
      <c r="P27" s="30">
        <f>P28</f>
        <v>1100000</v>
      </c>
      <c r="Q27" s="30">
        <f>Q28</f>
        <v>1100000</v>
      </c>
      <c r="R27" s="30">
        <f>R28</f>
        <v>0</v>
      </c>
    </row>
    <row r="28" spans="1:18" ht="15.75">
      <c r="A28" s="44"/>
      <c r="B28" s="46"/>
      <c r="C28" s="39">
        <v>6057</v>
      </c>
      <c r="D28" s="40" t="s">
        <v>273</v>
      </c>
      <c r="E28" s="41">
        <f>F28+P28</f>
        <v>1100000</v>
      </c>
      <c r="F28" s="248">
        <f>G28+J28+K28+L28+M28+N28</f>
        <v>0</v>
      </c>
      <c r="G28" s="248">
        <f>H28+I28</f>
        <v>0</v>
      </c>
      <c r="H28" s="33"/>
      <c r="I28" s="33"/>
      <c r="J28" s="33"/>
      <c r="K28" s="33"/>
      <c r="L28" s="33"/>
      <c r="M28" s="33"/>
      <c r="N28" s="33"/>
      <c r="O28" s="42">
        <f>P28+R28</f>
        <v>1100000</v>
      </c>
      <c r="P28" s="41">
        <f>Q28</f>
        <v>1100000</v>
      </c>
      <c r="Q28" s="33">
        <f>'zał 7'!Q370</f>
        <v>1100000</v>
      </c>
      <c r="R28" s="33"/>
    </row>
    <row r="29" spans="1:18" ht="15" customHeight="1">
      <c r="A29" s="527" t="s">
        <v>163</v>
      </c>
      <c r="B29" s="527"/>
      <c r="C29" s="527"/>
      <c r="D29" s="527"/>
      <c r="E29" s="38">
        <f aca="true" t="shared" si="7" ref="E29:R29">E10+E14+E7+E26+E17</f>
        <v>4637413</v>
      </c>
      <c r="F29" s="38">
        <f t="shared" si="7"/>
        <v>175800</v>
      </c>
      <c r="G29" s="38">
        <f t="shared" si="7"/>
        <v>175800</v>
      </c>
      <c r="H29" s="38">
        <f t="shared" si="7"/>
        <v>83400</v>
      </c>
      <c r="I29" s="38">
        <f t="shared" si="7"/>
        <v>92400</v>
      </c>
      <c r="J29" s="38">
        <f t="shared" si="7"/>
        <v>0</v>
      </c>
      <c r="K29" s="38">
        <f t="shared" si="7"/>
        <v>0</v>
      </c>
      <c r="L29" s="38">
        <f t="shared" si="7"/>
        <v>175800</v>
      </c>
      <c r="M29" s="38">
        <f t="shared" si="7"/>
        <v>0</v>
      </c>
      <c r="N29" s="38">
        <f t="shared" si="7"/>
        <v>0</v>
      </c>
      <c r="O29" s="38">
        <f t="shared" si="7"/>
        <v>4461613</v>
      </c>
      <c r="P29" s="38">
        <f t="shared" si="7"/>
        <v>4461613</v>
      </c>
      <c r="Q29" s="38">
        <f t="shared" si="7"/>
        <v>4461613</v>
      </c>
      <c r="R29" s="38">
        <f t="shared" si="7"/>
        <v>0</v>
      </c>
    </row>
  </sheetData>
  <sheetProtection selectLockedCells="1" selectUnlockedCells="1"/>
  <mergeCells count="21">
    <mergeCell ref="A29:D29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 horizontalCentered="1"/>
  <pageMargins left="0.5902777777777778" right="0.5902777777777778" top="1.15" bottom="0.7555555555555555" header="0.7868055555555555" footer="0.5902777777777778"/>
  <pageSetup horizontalDpi="300" verticalDpi="300" orientation="landscape" paperSize="9" scale="57" r:id="rId1"/>
  <headerFooter alignWithMargins="0">
    <oddHeader>&amp;R&amp;"Times New Roman,Normalny"&amp;12Załącznik Nr 10 do Uchwały  Nr III/12/2010 Rady Miejskiej w Barlinku z dnia 30 grudnia 2010</oddHeader>
    <oddFooter>&amp;C&amp;"Times New Roman,Normalny"&amp;12Strona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2"/>
  <sheetViews>
    <sheetView showGridLines="0" defaultGridColor="0" view="pageBreakPreview" zoomScaleSheetLayoutView="100" colorId="15" workbookViewId="0" topLeftCell="A1">
      <pane ySplit="4" topLeftCell="P5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6.75390625" style="15" customWidth="1"/>
    <col min="2" max="2" width="7.375" style="15" customWidth="1"/>
    <col min="3" max="3" width="6.25390625" style="15" customWidth="1"/>
    <col min="4" max="4" width="67.125" style="17" customWidth="1"/>
    <col min="5" max="5" width="16.625" style="90" customWidth="1"/>
    <col min="6" max="16384" width="11.75390625" style="15" customWidth="1"/>
  </cols>
  <sheetData>
    <row r="1" spans="1:5" s="57" customFormat="1" ht="15" customHeight="1">
      <c r="A1" s="543" t="s">
        <v>368</v>
      </c>
      <c r="B1" s="543"/>
      <c r="C1" s="543"/>
      <c r="D1" s="543"/>
      <c r="E1" s="543"/>
    </row>
    <row r="2" spans="1:5" s="263" customFormat="1" ht="15" customHeight="1">
      <c r="A2" s="544" t="s">
        <v>1</v>
      </c>
      <c r="B2" s="525" t="s">
        <v>21</v>
      </c>
      <c r="C2" s="525" t="s">
        <v>22</v>
      </c>
      <c r="D2" s="525" t="s">
        <v>369</v>
      </c>
      <c r="E2" s="525" t="s">
        <v>370</v>
      </c>
    </row>
    <row r="3" spans="1:5" s="263" customFormat="1" ht="12.75">
      <c r="A3" s="544"/>
      <c r="B3" s="525"/>
      <c r="C3" s="525"/>
      <c r="D3" s="525"/>
      <c r="E3" s="525"/>
    </row>
    <row r="4" spans="1:5" s="263" customFormat="1" ht="12.75">
      <c r="A4" s="264" t="s">
        <v>350</v>
      </c>
      <c r="B4" s="265">
        <v>2</v>
      </c>
      <c r="C4" s="265">
        <v>3</v>
      </c>
      <c r="D4" s="265">
        <v>4</v>
      </c>
      <c r="E4" s="265">
        <v>5</v>
      </c>
    </row>
    <row r="5" spans="1:5" ht="15.75">
      <c r="A5" s="43">
        <v>400</v>
      </c>
      <c r="B5" s="43"/>
      <c r="C5" s="43"/>
      <c r="D5" s="26" t="s">
        <v>33</v>
      </c>
      <c r="E5" s="27">
        <f>SUM(E6)</f>
        <v>1328000</v>
      </c>
    </row>
    <row r="6" spans="1:5" s="57" customFormat="1" ht="15.75">
      <c r="A6" s="44"/>
      <c r="B6" s="44">
        <v>40002</v>
      </c>
      <c r="C6" s="44"/>
      <c r="D6" s="37" t="s">
        <v>34</v>
      </c>
      <c r="E6" s="30">
        <f>E7+E10+E12</f>
        <v>1328000</v>
      </c>
    </row>
    <row r="7" spans="1:5" ht="15.75">
      <c r="A7" s="44"/>
      <c r="B7" s="46"/>
      <c r="C7" s="46">
        <v>6050</v>
      </c>
      <c r="D7" s="40" t="s">
        <v>206</v>
      </c>
      <c r="E7" s="33">
        <f>SUM(E8:E9)</f>
        <v>178000</v>
      </c>
    </row>
    <row r="8" spans="1:5" ht="15.75">
      <c r="A8" s="44"/>
      <c r="B8" s="46"/>
      <c r="C8" s="46"/>
      <c r="D8" s="40" t="s">
        <v>371</v>
      </c>
      <c r="E8" s="33">
        <v>95000</v>
      </c>
    </row>
    <row r="9" spans="1:5" ht="31.5">
      <c r="A9" s="44"/>
      <c r="B9" s="46"/>
      <c r="C9" s="46"/>
      <c r="D9" s="40" t="s">
        <v>372</v>
      </c>
      <c r="E9" s="33">
        <v>83000</v>
      </c>
    </row>
    <row r="10" spans="1:5" ht="15.75">
      <c r="A10" s="44"/>
      <c r="B10" s="46"/>
      <c r="C10" s="46">
        <v>6057</v>
      </c>
      <c r="D10" s="40" t="s">
        <v>206</v>
      </c>
      <c r="E10" s="33">
        <f>SUM(E11:E11)</f>
        <v>676200</v>
      </c>
    </row>
    <row r="11" spans="1:5" ht="15.75">
      <c r="A11" s="44"/>
      <c r="B11" s="46"/>
      <c r="C11" s="46"/>
      <c r="D11" s="40" t="s">
        <v>373</v>
      </c>
      <c r="E11" s="33">
        <f>'zał 2'!I11</f>
        <v>676200</v>
      </c>
    </row>
    <row r="12" spans="1:5" ht="15.75">
      <c r="A12" s="44"/>
      <c r="B12" s="46"/>
      <c r="C12" s="46">
        <v>6059</v>
      </c>
      <c r="D12" s="40" t="s">
        <v>206</v>
      </c>
      <c r="E12" s="33">
        <f>SUM(E13:E13)</f>
        <v>473800</v>
      </c>
    </row>
    <row r="13" spans="1:5" ht="15.75">
      <c r="A13" s="44"/>
      <c r="B13" s="46"/>
      <c r="C13" s="46"/>
      <c r="D13" s="40" t="s">
        <v>373</v>
      </c>
      <c r="E13" s="33">
        <f>1150000-E11</f>
        <v>473800</v>
      </c>
    </row>
    <row r="14" spans="1:5" ht="15.75">
      <c r="A14" s="43">
        <v>600</v>
      </c>
      <c r="B14" s="43"/>
      <c r="C14" s="43"/>
      <c r="D14" s="26" t="s">
        <v>36</v>
      </c>
      <c r="E14" s="27">
        <f>E15+E18</f>
        <v>4524713</v>
      </c>
    </row>
    <row r="15" spans="1:5" ht="15.75">
      <c r="A15" s="44"/>
      <c r="B15" s="44">
        <v>60013</v>
      </c>
      <c r="C15" s="44"/>
      <c r="D15" s="45" t="s">
        <v>207</v>
      </c>
      <c r="E15" s="241">
        <f>E16</f>
        <v>1666200</v>
      </c>
    </row>
    <row r="16" spans="1:5" ht="47.25">
      <c r="A16" s="44"/>
      <c r="B16" s="46"/>
      <c r="C16" s="237">
        <v>6630</v>
      </c>
      <c r="D16" s="243" t="s">
        <v>208</v>
      </c>
      <c r="E16" s="59">
        <f>E17</f>
        <v>1666200</v>
      </c>
    </row>
    <row r="17" spans="1:5" ht="31.5">
      <c r="A17" s="44"/>
      <c r="B17" s="46"/>
      <c r="C17" s="237"/>
      <c r="D17" s="40" t="s">
        <v>374</v>
      </c>
      <c r="E17" s="33">
        <v>1666200</v>
      </c>
    </row>
    <row r="18" spans="1:5" s="57" customFormat="1" ht="15.75">
      <c r="A18" s="44"/>
      <c r="B18" s="44">
        <v>60016</v>
      </c>
      <c r="C18" s="44"/>
      <c r="D18" s="45" t="s">
        <v>37</v>
      </c>
      <c r="E18" s="30">
        <f>E22+E24+E19+E26</f>
        <v>2858513</v>
      </c>
    </row>
    <row r="19" spans="1:5" s="57" customFormat="1" ht="15.75">
      <c r="A19" s="44"/>
      <c r="B19" s="44"/>
      <c r="C19" s="46">
        <v>6050</v>
      </c>
      <c r="D19" s="40" t="s">
        <v>375</v>
      </c>
      <c r="E19" s="33">
        <f>SUM(E20:E21)</f>
        <v>436000</v>
      </c>
    </row>
    <row r="20" spans="1:5" s="57" customFormat="1" ht="15.75">
      <c r="A20" s="44"/>
      <c r="B20" s="44"/>
      <c r="C20" s="237"/>
      <c r="D20" s="40" t="s">
        <v>376</v>
      </c>
      <c r="E20" s="33">
        <v>386000</v>
      </c>
    </row>
    <row r="21" spans="1:5" s="57" customFormat="1" ht="15.75">
      <c r="A21" s="44"/>
      <c r="B21" s="44"/>
      <c r="C21" s="237"/>
      <c r="D21" s="40" t="s">
        <v>377</v>
      </c>
      <c r="E21" s="33">
        <v>50000</v>
      </c>
    </row>
    <row r="22" spans="1:5" ht="15.75">
      <c r="A22" s="44"/>
      <c r="B22" s="46"/>
      <c r="C22" s="46">
        <v>6057</v>
      </c>
      <c r="D22" s="40" t="s">
        <v>375</v>
      </c>
      <c r="E22" s="33">
        <f>SUM(E23:E23)</f>
        <v>1850413</v>
      </c>
    </row>
    <row r="23" spans="1:5" ht="15.75">
      <c r="A23" s="44"/>
      <c r="B23" s="46"/>
      <c r="C23" s="237"/>
      <c r="D23" s="40" t="s">
        <v>378</v>
      </c>
      <c r="E23" s="33">
        <f>'zał 2'!I14</f>
        <v>1850413</v>
      </c>
    </row>
    <row r="24" spans="1:5" ht="15.75">
      <c r="A24" s="44"/>
      <c r="B24" s="46"/>
      <c r="C24" s="46">
        <v>6059</v>
      </c>
      <c r="D24" s="40" t="s">
        <v>375</v>
      </c>
      <c r="E24" s="33">
        <f>SUM(E25:E25)</f>
        <v>537100</v>
      </c>
    </row>
    <row r="25" spans="1:5" ht="15.75">
      <c r="A25" s="44"/>
      <c r="B25" s="46"/>
      <c r="C25" s="237"/>
      <c r="D25" s="40" t="s">
        <v>378</v>
      </c>
      <c r="E25" s="33">
        <f>2387513-E23</f>
        <v>537100</v>
      </c>
    </row>
    <row r="26" spans="1:5" ht="47.25">
      <c r="A26" s="44"/>
      <c r="B26" s="46"/>
      <c r="C26" s="237">
        <v>6627</v>
      </c>
      <c r="D26" s="243" t="s">
        <v>211</v>
      </c>
      <c r="E26" s="33">
        <f>E27</f>
        <v>35000</v>
      </c>
    </row>
    <row r="27" spans="1:5" ht="31.5">
      <c r="A27" s="44"/>
      <c r="B27" s="46"/>
      <c r="C27" s="237"/>
      <c r="D27" s="40" t="s">
        <v>379</v>
      </c>
      <c r="E27" s="33">
        <v>35000</v>
      </c>
    </row>
    <row r="28" spans="1:5" ht="31.5">
      <c r="A28" s="43">
        <v>754</v>
      </c>
      <c r="B28" s="43"/>
      <c r="C28" s="43"/>
      <c r="D28" s="26" t="s">
        <v>380</v>
      </c>
      <c r="E28" s="27">
        <f>SUM(E29)</f>
        <v>700000</v>
      </c>
    </row>
    <row r="29" spans="1:5" ht="15.75">
      <c r="A29" s="44"/>
      <c r="B29" s="44">
        <v>75412</v>
      </c>
      <c r="C29" s="44"/>
      <c r="D29" s="45" t="s">
        <v>247</v>
      </c>
      <c r="E29" s="30">
        <f>SUM(E30)</f>
        <v>700000</v>
      </c>
    </row>
    <row r="30" spans="1:5" ht="15.75">
      <c r="A30" s="44"/>
      <c r="B30" s="46"/>
      <c r="C30" s="46">
        <v>6050</v>
      </c>
      <c r="D30" s="40" t="s">
        <v>206</v>
      </c>
      <c r="E30" s="33">
        <f>SUM(E31)</f>
        <v>700000</v>
      </c>
    </row>
    <row r="31" spans="1:5" ht="31.5">
      <c r="A31" s="44"/>
      <c r="B31" s="46"/>
      <c r="C31" s="46"/>
      <c r="D31" s="40" t="s">
        <v>381</v>
      </c>
      <c r="E31" s="33">
        <v>700000</v>
      </c>
    </row>
    <row r="32" spans="1:5" ht="15.75">
      <c r="A32" s="43">
        <v>801</v>
      </c>
      <c r="B32" s="43"/>
      <c r="C32" s="43"/>
      <c r="D32" s="26" t="s">
        <v>115</v>
      </c>
      <c r="E32" s="27">
        <f>E33</f>
        <v>800000</v>
      </c>
    </row>
    <row r="33" spans="1:5" ht="15.75">
      <c r="A33" s="36"/>
      <c r="B33" s="36">
        <v>80101</v>
      </c>
      <c r="C33" s="36"/>
      <c r="D33" s="45" t="s">
        <v>116</v>
      </c>
      <c r="E33" s="38">
        <f>E34</f>
        <v>800000</v>
      </c>
    </row>
    <row r="34" spans="1:5" ht="15.75">
      <c r="A34" s="266"/>
      <c r="B34" s="266"/>
      <c r="C34" s="46">
        <v>6057</v>
      </c>
      <c r="D34" s="40" t="s">
        <v>273</v>
      </c>
      <c r="E34" s="33">
        <f>SUM(E35:E35)</f>
        <v>800000</v>
      </c>
    </row>
    <row r="35" spans="1:5" ht="15.75">
      <c r="A35" s="266"/>
      <c r="B35" s="266"/>
      <c r="C35" s="267"/>
      <c r="D35" s="268" t="s">
        <v>382</v>
      </c>
      <c r="E35" s="269">
        <v>800000</v>
      </c>
    </row>
    <row r="36" spans="1:5" ht="15.75">
      <c r="A36" s="250">
        <v>803</v>
      </c>
      <c r="B36" s="250"/>
      <c r="C36" s="250"/>
      <c r="D36" s="251" t="s">
        <v>304</v>
      </c>
      <c r="E36" s="27">
        <f>E37</f>
        <v>10000</v>
      </c>
    </row>
    <row r="37" spans="1:5" ht="15.75">
      <c r="A37" s="270"/>
      <c r="B37" s="271">
        <v>80395</v>
      </c>
      <c r="C37" s="272"/>
      <c r="D37" s="273" t="s">
        <v>30</v>
      </c>
      <c r="E37" s="38">
        <f>E38</f>
        <v>10000</v>
      </c>
    </row>
    <row r="38" spans="1:5" ht="47.25">
      <c r="A38" s="274"/>
      <c r="B38" s="274"/>
      <c r="C38" s="275">
        <v>6630</v>
      </c>
      <c r="D38" s="276" t="s">
        <v>208</v>
      </c>
      <c r="E38" s="33">
        <f>SUM(E39:E39)</f>
        <v>10000</v>
      </c>
    </row>
    <row r="39" spans="1:5" ht="15.75">
      <c r="A39" s="266"/>
      <c r="B39" s="266"/>
      <c r="C39" s="267"/>
      <c r="D39" s="268" t="s">
        <v>383</v>
      </c>
      <c r="E39" s="269">
        <v>10000</v>
      </c>
    </row>
    <row r="40" spans="1:5" ht="15.75">
      <c r="A40" s="43">
        <v>900</v>
      </c>
      <c r="B40" s="43"/>
      <c r="C40" s="43"/>
      <c r="D40" s="26" t="s">
        <v>329</v>
      </c>
      <c r="E40" s="27">
        <f>E41</f>
        <v>75000</v>
      </c>
    </row>
    <row r="41" spans="1:5" ht="15.75">
      <c r="A41" s="44"/>
      <c r="B41" s="44">
        <v>90001</v>
      </c>
      <c r="C41" s="44"/>
      <c r="D41" s="45" t="s">
        <v>330</v>
      </c>
      <c r="E41" s="30">
        <f>E42</f>
        <v>75000</v>
      </c>
    </row>
    <row r="42" spans="1:5" s="57" customFormat="1" ht="15.75">
      <c r="A42" s="44"/>
      <c r="B42" s="46"/>
      <c r="C42" s="46">
        <v>6050</v>
      </c>
      <c r="D42" s="40" t="s">
        <v>273</v>
      </c>
      <c r="E42" s="33">
        <f>E43</f>
        <v>75000</v>
      </c>
    </row>
    <row r="43" spans="1:5" ht="31.5">
      <c r="A43" s="44"/>
      <c r="B43" s="46"/>
      <c r="C43" s="46"/>
      <c r="D43" s="40" t="s">
        <v>384</v>
      </c>
      <c r="E43" s="33">
        <v>75000</v>
      </c>
    </row>
    <row r="44" spans="1:5" s="57" customFormat="1" ht="15.75">
      <c r="A44" s="43">
        <v>926</v>
      </c>
      <c r="B44" s="43"/>
      <c r="C44" s="43"/>
      <c r="D44" s="88" t="s">
        <v>158</v>
      </c>
      <c r="E44" s="27">
        <f>E45</f>
        <v>4850000</v>
      </c>
    </row>
    <row r="45" spans="1:5" s="57" customFormat="1" ht="15.75">
      <c r="A45" s="44"/>
      <c r="B45" s="44">
        <v>92601</v>
      </c>
      <c r="C45" s="44"/>
      <c r="D45" s="45" t="s">
        <v>159</v>
      </c>
      <c r="E45" s="30">
        <f>E50+E48+E46+E52</f>
        <v>4850000</v>
      </c>
    </row>
    <row r="46" spans="1:5" s="57" customFormat="1" ht="15.75">
      <c r="A46" s="44"/>
      <c r="B46" s="44"/>
      <c r="C46" s="46">
        <v>6050</v>
      </c>
      <c r="D46" s="40" t="s">
        <v>273</v>
      </c>
      <c r="E46" s="33">
        <f>E47</f>
        <v>30000</v>
      </c>
    </row>
    <row r="47" spans="1:5" s="57" customFormat="1" ht="15.75">
      <c r="A47" s="44"/>
      <c r="B47" s="44"/>
      <c r="C47" s="46"/>
      <c r="D47" s="40" t="s">
        <v>385</v>
      </c>
      <c r="E47" s="33">
        <v>30000</v>
      </c>
    </row>
    <row r="48" spans="1:5" s="57" customFormat="1" ht="15.75">
      <c r="A48" s="44"/>
      <c r="B48" s="44"/>
      <c r="C48" s="46">
        <v>6057</v>
      </c>
      <c r="D48" s="40" t="s">
        <v>206</v>
      </c>
      <c r="E48" s="33">
        <f>E49</f>
        <v>1100000</v>
      </c>
    </row>
    <row r="49" spans="1:5" s="57" customFormat="1" ht="31.5">
      <c r="A49" s="44"/>
      <c r="B49" s="44"/>
      <c r="C49" s="46"/>
      <c r="D49" s="40" t="s">
        <v>386</v>
      </c>
      <c r="E49" s="33">
        <f>'zał 2'!I134</f>
        <v>1100000</v>
      </c>
    </row>
    <row r="50" spans="1:5" ht="15.75">
      <c r="A50" s="44"/>
      <c r="B50" s="46"/>
      <c r="C50" s="46">
        <v>6059</v>
      </c>
      <c r="D50" s="40" t="s">
        <v>206</v>
      </c>
      <c r="E50" s="33">
        <f>E51</f>
        <v>3700000</v>
      </c>
    </row>
    <row r="51" spans="1:5" ht="31.5">
      <c r="A51" s="44"/>
      <c r="B51" s="46"/>
      <c r="C51" s="46"/>
      <c r="D51" s="40" t="s">
        <v>386</v>
      </c>
      <c r="E51" s="33">
        <v>3700000</v>
      </c>
    </row>
    <row r="52" spans="1:5" ht="15.75">
      <c r="A52" s="44"/>
      <c r="B52" s="46"/>
      <c r="C52" s="46">
        <v>6060</v>
      </c>
      <c r="D52" s="40" t="s">
        <v>341</v>
      </c>
      <c r="E52" s="33">
        <f>E53</f>
        <v>20000</v>
      </c>
    </row>
    <row r="53" spans="1:5" ht="15.75">
      <c r="A53" s="44"/>
      <c r="B53" s="46"/>
      <c r="C53" s="46"/>
      <c r="D53" s="40" t="s">
        <v>387</v>
      </c>
      <c r="E53" s="33">
        <v>20000</v>
      </c>
    </row>
    <row r="54" spans="1:5" ht="15" customHeight="1">
      <c r="A54" s="528" t="s">
        <v>163</v>
      </c>
      <c r="B54" s="528"/>
      <c r="C54" s="528"/>
      <c r="D54" s="528"/>
      <c r="E54" s="277">
        <f>E44+E40+E32+E14+E5+E36+E28</f>
        <v>12287713</v>
      </c>
    </row>
    <row r="55" ht="15.75">
      <c r="E55" s="278"/>
    </row>
    <row r="56" ht="15.75">
      <c r="E56" s="278"/>
    </row>
    <row r="57" ht="15.75">
      <c r="E57" s="278"/>
    </row>
    <row r="58" ht="15.75">
      <c r="E58" s="278"/>
    </row>
    <row r="59" ht="15.75">
      <c r="E59" s="278"/>
    </row>
    <row r="60" ht="15.75">
      <c r="E60" s="278"/>
    </row>
    <row r="61" ht="15.75">
      <c r="E61" s="278"/>
    </row>
    <row r="62" ht="15.75">
      <c r="E62" s="278"/>
    </row>
    <row r="63" ht="15.75">
      <c r="E63" s="278"/>
    </row>
    <row r="64" ht="15.75">
      <c r="E64" s="278"/>
    </row>
    <row r="65" ht="15.75">
      <c r="E65" s="278"/>
    </row>
    <row r="66" ht="15.75">
      <c r="E66" s="278"/>
    </row>
    <row r="67" ht="15.75">
      <c r="E67" s="278"/>
    </row>
    <row r="68" ht="15.75">
      <c r="E68" s="278"/>
    </row>
    <row r="69" ht="15.75">
      <c r="E69" s="278"/>
    </row>
    <row r="70" ht="15.75">
      <c r="E70" s="278"/>
    </row>
    <row r="71" ht="15.75">
      <c r="E71" s="278"/>
    </row>
    <row r="72" ht="15.75">
      <c r="E72" s="278"/>
    </row>
    <row r="73" ht="15.75">
      <c r="E73" s="278"/>
    </row>
    <row r="74" ht="15.75">
      <c r="E74" s="278"/>
    </row>
    <row r="75" ht="15.75">
      <c r="E75" s="278"/>
    </row>
    <row r="76" ht="15.75">
      <c r="E76" s="278"/>
    </row>
    <row r="77" ht="15.75">
      <c r="E77" s="278"/>
    </row>
    <row r="78" ht="15.75">
      <c r="E78" s="278"/>
    </row>
    <row r="79" ht="15.75">
      <c r="E79" s="278"/>
    </row>
    <row r="80" ht="15.75">
      <c r="E80" s="278"/>
    </row>
    <row r="81" ht="15.75">
      <c r="E81" s="278"/>
    </row>
    <row r="82" ht="15.75">
      <c r="E82" s="278"/>
    </row>
    <row r="83" ht="15.75">
      <c r="E83" s="278"/>
    </row>
    <row r="84" ht="15.75">
      <c r="E84" s="278"/>
    </row>
    <row r="85" ht="15.75">
      <c r="E85" s="278"/>
    </row>
    <row r="86" ht="15.75">
      <c r="E86" s="278"/>
    </row>
    <row r="87" ht="15.75">
      <c r="E87" s="278"/>
    </row>
    <row r="88" ht="15.75">
      <c r="E88" s="278"/>
    </row>
    <row r="89" ht="15.75">
      <c r="E89" s="278"/>
    </row>
    <row r="90" ht="15.75">
      <c r="E90" s="278"/>
    </row>
    <row r="91" ht="15.75">
      <c r="E91" s="278"/>
    </row>
    <row r="92" ht="15.75">
      <c r="E92" s="278"/>
    </row>
    <row r="93" ht="15.75">
      <c r="E93" s="278"/>
    </row>
    <row r="94" ht="15.75">
      <c r="E94" s="278"/>
    </row>
    <row r="95" ht="15.75">
      <c r="E95" s="278"/>
    </row>
    <row r="96" ht="15.75">
      <c r="E96" s="278"/>
    </row>
    <row r="97" ht="15.75">
      <c r="E97" s="278"/>
    </row>
    <row r="98" ht="15.75">
      <c r="E98" s="278"/>
    </row>
    <row r="99" ht="15.75">
      <c r="E99" s="278"/>
    </row>
    <row r="100" ht="15.75">
      <c r="E100" s="278"/>
    </row>
    <row r="101" ht="15.75">
      <c r="E101" s="278"/>
    </row>
    <row r="102" ht="15.75">
      <c r="E102" s="278"/>
    </row>
    <row r="103" ht="15.75">
      <c r="E103" s="278"/>
    </row>
    <row r="104" ht="15.75">
      <c r="E104" s="278"/>
    </row>
    <row r="105" ht="15.75">
      <c r="E105" s="278"/>
    </row>
    <row r="106" ht="15.75">
      <c r="E106" s="278"/>
    </row>
    <row r="107" ht="15.75">
      <c r="E107" s="278"/>
    </row>
    <row r="108" ht="15.75">
      <c r="E108" s="278"/>
    </row>
    <row r="109" ht="15.75">
      <c r="E109" s="278"/>
    </row>
    <row r="110" ht="15.75">
      <c r="E110" s="278"/>
    </row>
    <row r="111" ht="15.75">
      <c r="E111" s="278"/>
    </row>
    <row r="112" ht="15.75">
      <c r="E112" s="278"/>
    </row>
    <row r="113" ht="15.75">
      <c r="E113" s="278"/>
    </row>
    <row r="114" ht="15.75">
      <c r="E114" s="278"/>
    </row>
    <row r="115" ht="15.75">
      <c r="E115" s="278"/>
    </row>
    <row r="116" ht="15.75">
      <c r="E116" s="278"/>
    </row>
    <row r="117" ht="15.75">
      <c r="E117" s="278"/>
    </row>
    <row r="118" ht="15.75">
      <c r="E118" s="278"/>
    </row>
    <row r="119" ht="15.75">
      <c r="E119" s="278"/>
    </row>
    <row r="120" ht="15.75">
      <c r="E120" s="278"/>
    </row>
    <row r="121" ht="15.75">
      <c r="E121" s="278"/>
    </row>
    <row r="122" ht="15.75">
      <c r="E122" s="278"/>
    </row>
    <row r="123" ht="15.75">
      <c r="E123" s="278"/>
    </row>
    <row r="124" ht="15.75">
      <c r="E124" s="278"/>
    </row>
    <row r="125" ht="15.75">
      <c r="E125" s="278"/>
    </row>
    <row r="126" ht="15.75">
      <c r="E126" s="278"/>
    </row>
    <row r="127" ht="15.75">
      <c r="E127" s="278"/>
    </row>
    <row r="128" ht="15.75">
      <c r="E128" s="278"/>
    </row>
    <row r="129" ht="15.75">
      <c r="E129" s="278"/>
    </row>
    <row r="130" ht="15.75">
      <c r="E130" s="278"/>
    </row>
    <row r="131" ht="15.75">
      <c r="E131" s="278"/>
    </row>
    <row r="132" ht="15.75">
      <c r="E132" s="278"/>
    </row>
    <row r="133" ht="15.75">
      <c r="E133" s="278"/>
    </row>
    <row r="134" ht="15.75">
      <c r="E134" s="278"/>
    </row>
    <row r="135" ht="15.75">
      <c r="E135" s="278"/>
    </row>
    <row r="136" ht="15.75">
      <c r="E136" s="278"/>
    </row>
    <row r="137" ht="15.75">
      <c r="E137" s="278"/>
    </row>
    <row r="138" ht="15.75">
      <c r="E138" s="278"/>
    </row>
    <row r="139" ht="15.75">
      <c r="E139" s="278"/>
    </row>
    <row r="140" ht="15.75">
      <c r="E140" s="278"/>
    </row>
    <row r="141" ht="15.75">
      <c r="E141" s="278"/>
    </row>
    <row r="142" ht="15.75">
      <c r="E142" s="278"/>
    </row>
    <row r="143" ht="15.75">
      <c r="E143" s="278"/>
    </row>
    <row r="144" ht="15.75">
      <c r="E144" s="278"/>
    </row>
    <row r="145" ht="15.75">
      <c r="E145" s="278"/>
    </row>
    <row r="146" ht="15.75">
      <c r="E146" s="278"/>
    </row>
    <row r="147" ht="15.75">
      <c r="E147" s="278"/>
    </row>
    <row r="148" ht="15.75">
      <c r="E148" s="278"/>
    </row>
    <row r="149" ht="15.75">
      <c r="E149" s="278"/>
    </row>
    <row r="150" ht="15.75">
      <c r="E150" s="278"/>
    </row>
    <row r="151" ht="15.75">
      <c r="E151" s="278"/>
    </row>
    <row r="152" ht="15.75">
      <c r="E152" s="278"/>
    </row>
    <row r="153" ht="15.75">
      <c r="E153" s="278"/>
    </row>
    <row r="154" ht="15.75">
      <c r="E154" s="278"/>
    </row>
    <row r="155" ht="15.75">
      <c r="E155" s="278"/>
    </row>
    <row r="156" ht="15.75">
      <c r="E156" s="278"/>
    </row>
    <row r="157" ht="15.75">
      <c r="E157" s="278"/>
    </row>
    <row r="158" ht="15.75">
      <c r="E158" s="278"/>
    </row>
    <row r="159" ht="15.75">
      <c r="E159" s="278"/>
    </row>
    <row r="160" ht="15.75">
      <c r="E160" s="278"/>
    </row>
    <row r="161" ht="15.75">
      <c r="E161" s="278"/>
    </row>
    <row r="162" ht="15.75">
      <c r="E162" s="278"/>
    </row>
    <row r="163" ht="15.75">
      <c r="E163" s="278"/>
    </row>
    <row r="164" ht="15.75">
      <c r="E164" s="278"/>
    </row>
    <row r="165" ht="15.75">
      <c r="E165" s="278"/>
    </row>
    <row r="166" ht="15.75">
      <c r="E166" s="278"/>
    </row>
    <row r="167" ht="15.75">
      <c r="E167" s="278"/>
    </row>
    <row r="168" ht="15.75">
      <c r="E168" s="278"/>
    </row>
    <row r="169" ht="15.75">
      <c r="E169" s="278"/>
    </row>
    <row r="170" ht="15.75">
      <c r="E170" s="278"/>
    </row>
    <row r="171" ht="15.75">
      <c r="E171" s="278"/>
    </row>
    <row r="172" ht="15.75">
      <c r="E172" s="278"/>
    </row>
    <row r="173" ht="15.75">
      <c r="E173" s="278"/>
    </row>
    <row r="174" ht="15.75">
      <c r="E174" s="278"/>
    </row>
    <row r="175" ht="15.75">
      <c r="E175" s="278"/>
    </row>
    <row r="176" ht="15.75">
      <c r="E176" s="278"/>
    </row>
    <row r="177" ht="15.75">
      <c r="E177" s="278"/>
    </row>
    <row r="178" ht="15.75">
      <c r="E178" s="278"/>
    </row>
    <row r="179" ht="15.75">
      <c r="E179" s="278"/>
    </row>
    <row r="180" ht="15.75">
      <c r="E180" s="278"/>
    </row>
    <row r="181" ht="15.75">
      <c r="E181" s="278"/>
    </row>
    <row r="182" ht="15.75">
      <c r="E182" s="278"/>
    </row>
  </sheetData>
  <sheetProtection selectLockedCells="1" selectUnlockedCells="1"/>
  <mergeCells count="7">
    <mergeCell ref="A54:D54"/>
    <mergeCell ref="A1:E1"/>
    <mergeCell ref="A2:A3"/>
    <mergeCell ref="B2:B3"/>
    <mergeCell ref="C2:C3"/>
    <mergeCell ref="D2:D3"/>
    <mergeCell ref="E2:E3"/>
  </mergeCells>
  <printOptions/>
  <pageMargins left="0.7875" right="0.7875" top="1.1506944444444445" bottom="0.6486111111111111" header="0.7875" footer="0.48194444444444445"/>
  <pageSetup horizontalDpi="300" verticalDpi="300" orientation="portrait" paperSize="9" scale="81" r:id="rId1"/>
  <headerFooter alignWithMargins="0">
    <oddHeader>&amp;R&amp;"Times New Roman,Normalny"&amp;12Załącznik Nr 11 do Uchwały  Nr III/12/2010 Rady Miejskiej w Barlinku z dnia 30 grudnia 2010</oddHeader>
    <oddFooter>&amp;C&amp;"Times New Roman,Normalny"&amp;12Strona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1"/>
  <sheetViews>
    <sheetView showGridLines="0" defaultGridColor="0" view="pageBreakPreview" zoomScaleSheetLayoutView="100" colorId="15" workbookViewId="0" topLeftCell="A1">
      <selection activeCell="L9" sqref="L9"/>
    </sheetView>
  </sheetViews>
  <sheetFormatPr defaultColWidth="9.00390625" defaultRowHeight="18" customHeight="1"/>
  <cols>
    <col min="1" max="1" width="6.00390625" style="279" customWidth="1"/>
    <col min="2" max="2" width="8.25390625" style="280" customWidth="1"/>
    <col min="3" max="3" width="5.875" style="280" customWidth="1"/>
    <col min="4" max="4" width="69.00390625" style="281" customWidth="1"/>
    <col min="5" max="5" width="12.25390625" style="280" customWidth="1"/>
    <col min="6" max="7" width="14.00390625" style="280" customWidth="1"/>
    <col min="8" max="8" width="12.75390625" style="280" customWidth="1"/>
    <col min="9" max="16384" width="9.00390625" style="280" customWidth="1"/>
  </cols>
  <sheetData>
    <row r="1" spans="1:8" ht="46.5" customHeight="1">
      <c r="A1" s="545" t="s">
        <v>388</v>
      </c>
      <c r="B1" s="545"/>
      <c r="C1" s="545"/>
      <c r="D1" s="545"/>
      <c r="E1" s="545"/>
      <c r="F1" s="545"/>
      <c r="G1" s="545"/>
      <c r="H1" s="545"/>
    </row>
    <row r="2" spans="1:8" s="105" customFormat="1" ht="16.5" customHeight="1">
      <c r="A2" s="546" t="s">
        <v>1</v>
      </c>
      <c r="B2" s="547" t="s">
        <v>21</v>
      </c>
      <c r="C2" s="547" t="s">
        <v>22</v>
      </c>
      <c r="D2" s="547" t="s">
        <v>23</v>
      </c>
      <c r="E2" s="547" t="s">
        <v>389</v>
      </c>
      <c r="F2" s="547" t="s">
        <v>390</v>
      </c>
      <c r="G2" s="547" t="s">
        <v>391</v>
      </c>
      <c r="H2" s="283"/>
    </row>
    <row r="3" spans="1:8" s="106" customFormat="1" ht="34.5" customHeight="1">
      <c r="A3" s="546"/>
      <c r="B3" s="547"/>
      <c r="C3" s="547"/>
      <c r="D3" s="547"/>
      <c r="E3" s="547"/>
      <c r="F3" s="547"/>
      <c r="G3" s="547"/>
      <c r="H3" s="284" t="s">
        <v>392</v>
      </c>
    </row>
    <row r="4" spans="1:8" s="288" customFormat="1" ht="12.75" customHeight="1">
      <c r="A4" s="285">
        <v>1</v>
      </c>
      <c r="B4" s="286">
        <v>2</v>
      </c>
      <c r="C4" s="286">
        <v>3</v>
      </c>
      <c r="D4" s="286">
        <v>4</v>
      </c>
      <c r="E4" s="286">
        <v>5</v>
      </c>
      <c r="F4" s="287">
        <v>6</v>
      </c>
      <c r="G4" s="287">
        <v>7</v>
      </c>
      <c r="H4" s="287">
        <v>8</v>
      </c>
    </row>
    <row r="5" spans="1:8" ht="18" customHeight="1">
      <c r="A5" s="289" t="s">
        <v>14</v>
      </c>
      <c r="B5" s="289">
        <v>80101</v>
      </c>
      <c r="C5" s="289"/>
      <c r="D5" s="290" t="s">
        <v>116</v>
      </c>
      <c r="E5" s="291">
        <f>SUM(E6:E10)</f>
        <v>15718</v>
      </c>
      <c r="F5" s="291">
        <f>SUM(F6:F10)</f>
        <v>12973</v>
      </c>
      <c r="G5" s="291">
        <f>SUM(G6:G10)</f>
        <v>4526</v>
      </c>
      <c r="H5" s="291">
        <f>SUM(H6:H10)</f>
        <v>33217</v>
      </c>
    </row>
    <row r="6" spans="1:8" ht="18" customHeight="1">
      <c r="A6" s="289"/>
      <c r="B6" s="289"/>
      <c r="C6" s="62" t="s">
        <v>45</v>
      </c>
      <c r="D6" s="63" t="s">
        <v>117</v>
      </c>
      <c r="E6" s="292"/>
      <c r="F6" s="292"/>
      <c r="G6" s="292">
        <v>26</v>
      </c>
      <c r="H6" s="292">
        <f>SUM(E6,F6,G6)</f>
        <v>26</v>
      </c>
    </row>
    <row r="7" spans="1:8" ht="48" customHeight="1">
      <c r="A7" s="61"/>
      <c r="B7" s="62"/>
      <c r="C7" s="62" t="s">
        <v>31</v>
      </c>
      <c r="D7" s="63" t="s">
        <v>393</v>
      </c>
      <c r="E7" s="293">
        <v>9960</v>
      </c>
      <c r="F7" s="292">
        <v>8000</v>
      </c>
      <c r="G7" s="292">
        <v>4000</v>
      </c>
      <c r="H7" s="292">
        <f>SUM(E7,F7,G7)</f>
        <v>21960</v>
      </c>
    </row>
    <row r="8" spans="1:8" ht="19.5" customHeight="1">
      <c r="A8" s="61"/>
      <c r="B8" s="62"/>
      <c r="C8" s="62" t="s">
        <v>394</v>
      </c>
      <c r="D8" s="63" t="s">
        <v>157</v>
      </c>
      <c r="E8" s="293"/>
      <c r="F8" s="292"/>
      <c r="G8" s="292"/>
      <c r="H8" s="292">
        <f>SUM(E8,F8,G8)</f>
        <v>0</v>
      </c>
    </row>
    <row r="9" spans="1:8" ht="19.5" customHeight="1">
      <c r="A9" s="61"/>
      <c r="B9" s="62"/>
      <c r="C9" s="62" t="s">
        <v>395</v>
      </c>
      <c r="D9" s="63" t="s">
        <v>396</v>
      </c>
      <c r="E9" s="293">
        <v>500</v>
      </c>
      <c r="F9" s="292">
        <v>500</v>
      </c>
      <c r="G9" s="292">
        <v>300</v>
      </c>
      <c r="H9" s="292">
        <f>SUM(E9,F9,G9)</f>
        <v>1300</v>
      </c>
    </row>
    <row r="10" spans="1:8" ht="19.5" customHeight="1">
      <c r="A10" s="61"/>
      <c r="B10" s="62"/>
      <c r="C10" s="62" t="s">
        <v>118</v>
      </c>
      <c r="D10" s="63" t="s">
        <v>119</v>
      </c>
      <c r="E10" s="293">
        <v>5258</v>
      </c>
      <c r="F10" s="292">
        <f>4473</f>
        <v>4473</v>
      </c>
      <c r="G10" s="292">
        <v>200</v>
      </c>
      <c r="H10" s="292">
        <f>SUM(E10,F10,G10)</f>
        <v>9931</v>
      </c>
    </row>
    <row r="11" spans="1:8" ht="19.5" customHeight="1">
      <c r="A11" s="289"/>
      <c r="B11" s="289" t="s">
        <v>397</v>
      </c>
      <c r="C11" s="62"/>
      <c r="D11" s="290" t="s">
        <v>127</v>
      </c>
      <c r="E11" s="294">
        <f>SUM(E12)</f>
        <v>136500</v>
      </c>
      <c r="F11" s="291">
        <f>SUM(F12)</f>
        <v>0</v>
      </c>
      <c r="G11" s="291">
        <f>SUM(G12)</f>
        <v>40800</v>
      </c>
      <c r="H11" s="291">
        <f>SUM(H12)</f>
        <v>177300</v>
      </c>
    </row>
    <row r="12" spans="1:8" ht="19.5" customHeight="1">
      <c r="A12" s="289"/>
      <c r="B12" s="289"/>
      <c r="C12" s="62" t="s">
        <v>394</v>
      </c>
      <c r="D12" s="63" t="s">
        <v>157</v>
      </c>
      <c r="E12" s="293">
        <v>136500</v>
      </c>
      <c r="F12" s="292"/>
      <c r="G12" s="292">
        <v>40800</v>
      </c>
      <c r="H12" s="292">
        <f>SUM(E12,F12,G12)</f>
        <v>177300</v>
      </c>
    </row>
    <row r="13" spans="1:8" ht="18" customHeight="1">
      <c r="A13" s="548" t="s">
        <v>163</v>
      </c>
      <c r="B13" s="548"/>
      <c r="C13" s="548"/>
      <c r="D13" s="548"/>
      <c r="E13" s="295">
        <f>E5+E11</f>
        <v>152218</v>
      </c>
      <c r="F13" s="295">
        <f>F5+F11</f>
        <v>12973</v>
      </c>
      <c r="G13" s="295">
        <f>G5+G11</f>
        <v>45326</v>
      </c>
      <c r="H13" s="295">
        <f>H5+H11</f>
        <v>210517</v>
      </c>
    </row>
    <row r="14" ht="18" customHeight="1">
      <c r="E14" s="296"/>
    </row>
    <row r="15" ht="18" customHeight="1">
      <c r="E15" s="296"/>
    </row>
    <row r="16" ht="18" customHeight="1">
      <c r="E16" s="296"/>
    </row>
    <row r="17" ht="18" customHeight="1">
      <c r="E17" s="296"/>
    </row>
    <row r="18" ht="18" customHeight="1">
      <c r="E18" s="296"/>
    </row>
    <row r="19" ht="18" customHeight="1">
      <c r="E19" s="296"/>
    </row>
    <row r="20" ht="18" customHeight="1">
      <c r="E20" s="296"/>
    </row>
    <row r="21" ht="18" customHeight="1">
      <c r="E21" s="296"/>
    </row>
    <row r="22" ht="18" customHeight="1">
      <c r="E22" s="296"/>
    </row>
    <row r="23" ht="18" customHeight="1">
      <c r="E23" s="296"/>
    </row>
    <row r="24" ht="18" customHeight="1">
      <c r="E24" s="296"/>
    </row>
    <row r="25" ht="18" customHeight="1">
      <c r="E25" s="296"/>
    </row>
    <row r="26" ht="18" customHeight="1">
      <c r="E26" s="296"/>
    </row>
    <row r="27" ht="18" customHeight="1">
      <c r="E27" s="296"/>
    </row>
    <row r="28" ht="18" customHeight="1">
      <c r="E28" s="296"/>
    </row>
    <row r="29" ht="18" customHeight="1">
      <c r="E29" s="296"/>
    </row>
    <row r="30" ht="18" customHeight="1">
      <c r="E30" s="296"/>
    </row>
    <row r="31" ht="18" customHeight="1">
      <c r="E31" s="296"/>
    </row>
    <row r="32" ht="18" customHeight="1">
      <c r="E32" s="296"/>
    </row>
    <row r="33" ht="18" customHeight="1">
      <c r="E33" s="296"/>
    </row>
    <row r="34" ht="18" customHeight="1">
      <c r="E34" s="296"/>
    </row>
    <row r="35" ht="18" customHeight="1">
      <c r="E35" s="296"/>
    </row>
    <row r="36" ht="18" customHeight="1">
      <c r="E36" s="296"/>
    </row>
    <row r="37" ht="18" customHeight="1">
      <c r="E37" s="296"/>
    </row>
    <row r="38" ht="18" customHeight="1">
      <c r="E38" s="296"/>
    </row>
    <row r="39" ht="18" customHeight="1">
      <c r="E39" s="296"/>
    </row>
    <row r="40" ht="18" customHeight="1">
      <c r="E40" s="296"/>
    </row>
    <row r="41" ht="18" customHeight="1">
      <c r="E41" s="296"/>
    </row>
    <row r="42" ht="18" customHeight="1">
      <c r="E42" s="296"/>
    </row>
    <row r="43" ht="18" customHeight="1">
      <c r="E43" s="296"/>
    </row>
    <row r="44" ht="18" customHeight="1">
      <c r="E44" s="296"/>
    </row>
    <row r="45" ht="18" customHeight="1">
      <c r="E45" s="296"/>
    </row>
    <row r="46" ht="18" customHeight="1">
      <c r="E46" s="296"/>
    </row>
    <row r="47" ht="18" customHeight="1">
      <c r="E47" s="296"/>
    </row>
    <row r="48" ht="18" customHeight="1">
      <c r="E48" s="296"/>
    </row>
    <row r="49" ht="18" customHeight="1">
      <c r="E49" s="296"/>
    </row>
    <row r="50" ht="18" customHeight="1">
      <c r="E50" s="296"/>
    </row>
    <row r="51" ht="18" customHeight="1">
      <c r="E51" s="296"/>
    </row>
    <row r="52" ht="18" customHeight="1">
      <c r="E52" s="296"/>
    </row>
    <row r="53" ht="18" customHeight="1">
      <c r="E53" s="296"/>
    </row>
    <row r="54" ht="18" customHeight="1">
      <c r="E54" s="296"/>
    </row>
    <row r="55" ht="18" customHeight="1">
      <c r="E55" s="296"/>
    </row>
    <row r="56" ht="18" customHeight="1">
      <c r="E56" s="296"/>
    </row>
    <row r="57" ht="18" customHeight="1">
      <c r="E57" s="296"/>
    </row>
    <row r="58" ht="18" customHeight="1">
      <c r="E58" s="296"/>
    </row>
    <row r="59" ht="18" customHeight="1">
      <c r="E59" s="296"/>
    </row>
    <row r="60" ht="18" customHeight="1">
      <c r="E60" s="296"/>
    </row>
    <row r="61" ht="18" customHeight="1">
      <c r="E61" s="296"/>
    </row>
    <row r="62" ht="18" customHeight="1">
      <c r="E62" s="296"/>
    </row>
    <row r="63" ht="18" customHeight="1">
      <c r="E63" s="296"/>
    </row>
    <row r="64" ht="18" customHeight="1">
      <c r="E64" s="296"/>
    </row>
    <row r="65" ht="18" customHeight="1">
      <c r="E65" s="296"/>
    </row>
    <row r="66" ht="18" customHeight="1">
      <c r="E66" s="296"/>
    </row>
    <row r="67" ht="18" customHeight="1">
      <c r="E67" s="296"/>
    </row>
    <row r="68" ht="18" customHeight="1">
      <c r="E68" s="296"/>
    </row>
    <row r="69" ht="18" customHeight="1">
      <c r="E69" s="296"/>
    </row>
    <row r="70" ht="18" customHeight="1">
      <c r="E70" s="296"/>
    </row>
    <row r="71" ht="18" customHeight="1">
      <c r="E71" s="296"/>
    </row>
    <row r="72" ht="18" customHeight="1">
      <c r="E72" s="296"/>
    </row>
    <row r="73" ht="18" customHeight="1">
      <c r="E73" s="296"/>
    </row>
    <row r="74" ht="18" customHeight="1">
      <c r="E74" s="296"/>
    </row>
    <row r="75" ht="18" customHeight="1">
      <c r="E75" s="296"/>
    </row>
    <row r="76" ht="18" customHeight="1">
      <c r="E76" s="296"/>
    </row>
    <row r="77" ht="18" customHeight="1">
      <c r="E77" s="296"/>
    </row>
    <row r="78" ht="18" customHeight="1">
      <c r="E78" s="296"/>
    </row>
    <row r="79" ht="18" customHeight="1">
      <c r="E79" s="296"/>
    </row>
    <row r="80" ht="18" customHeight="1">
      <c r="E80" s="296"/>
    </row>
    <row r="81" ht="18" customHeight="1">
      <c r="E81" s="296"/>
    </row>
    <row r="82" ht="18" customHeight="1">
      <c r="E82" s="296"/>
    </row>
    <row r="83" ht="18" customHeight="1">
      <c r="E83" s="296"/>
    </row>
    <row r="84" ht="18" customHeight="1">
      <c r="E84" s="296"/>
    </row>
    <row r="85" ht="18" customHeight="1">
      <c r="E85" s="296"/>
    </row>
    <row r="86" ht="18" customHeight="1">
      <c r="E86" s="296"/>
    </row>
    <row r="87" ht="18" customHeight="1">
      <c r="E87" s="296"/>
    </row>
    <row r="88" ht="18" customHeight="1">
      <c r="E88" s="296"/>
    </row>
    <row r="89" ht="18" customHeight="1">
      <c r="E89" s="296"/>
    </row>
    <row r="90" ht="18" customHeight="1">
      <c r="E90" s="296"/>
    </row>
    <row r="91" ht="18" customHeight="1">
      <c r="E91" s="296"/>
    </row>
    <row r="92" ht="18" customHeight="1">
      <c r="E92" s="296"/>
    </row>
    <row r="93" ht="18" customHeight="1">
      <c r="E93" s="296"/>
    </row>
    <row r="94" ht="18" customHeight="1">
      <c r="E94" s="296"/>
    </row>
    <row r="95" ht="18" customHeight="1">
      <c r="E95" s="296"/>
    </row>
    <row r="96" ht="18" customHeight="1">
      <c r="E96" s="296"/>
    </row>
    <row r="97" ht="18" customHeight="1">
      <c r="E97" s="296"/>
    </row>
    <row r="98" ht="18" customHeight="1">
      <c r="E98" s="296"/>
    </row>
    <row r="99" ht="18" customHeight="1">
      <c r="E99" s="296"/>
    </row>
    <row r="100" ht="18" customHeight="1">
      <c r="E100" s="296"/>
    </row>
    <row r="101" ht="18" customHeight="1">
      <c r="E101" s="296"/>
    </row>
    <row r="102" ht="18" customHeight="1">
      <c r="E102" s="296"/>
    </row>
    <row r="103" ht="18" customHeight="1">
      <c r="E103" s="296"/>
    </row>
    <row r="104" ht="18" customHeight="1">
      <c r="E104" s="296"/>
    </row>
    <row r="105" ht="18" customHeight="1">
      <c r="E105" s="296"/>
    </row>
    <row r="106" ht="18" customHeight="1">
      <c r="E106" s="296"/>
    </row>
    <row r="107" ht="18" customHeight="1">
      <c r="E107" s="296"/>
    </row>
    <row r="108" ht="18" customHeight="1">
      <c r="E108" s="296"/>
    </row>
    <row r="109" ht="18" customHeight="1">
      <c r="E109" s="296"/>
    </row>
    <row r="110" ht="18" customHeight="1">
      <c r="E110" s="296"/>
    </row>
    <row r="111" ht="18" customHeight="1">
      <c r="E111" s="296"/>
    </row>
    <row r="112" ht="18" customHeight="1">
      <c r="E112" s="296"/>
    </row>
    <row r="113" ht="18" customHeight="1">
      <c r="E113" s="296"/>
    </row>
    <row r="114" ht="18" customHeight="1">
      <c r="E114" s="296"/>
    </row>
    <row r="115" ht="18" customHeight="1">
      <c r="E115" s="296"/>
    </row>
    <row r="116" ht="18" customHeight="1">
      <c r="E116" s="296"/>
    </row>
    <row r="117" ht="18" customHeight="1">
      <c r="E117" s="296"/>
    </row>
    <row r="118" ht="18" customHeight="1">
      <c r="E118" s="296"/>
    </row>
    <row r="119" ht="18" customHeight="1">
      <c r="E119" s="296"/>
    </row>
    <row r="120" ht="18" customHeight="1">
      <c r="E120" s="296"/>
    </row>
    <row r="121" ht="18" customHeight="1">
      <c r="E121" s="296"/>
    </row>
    <row r="122" ht="18" customHeight="1">
      <c r="E122" s="296"/>
    </row>
    <row r="123" ht="18" customHeight="1">
      <c r="E123" s="296"/>
    </row>
    <row r="124" ht="18" customHeight="1">
      <c r="E124" s="296"/>
    </row>
    <row r="125" ht="18" customHeight="1">
      <c r="E125" s="296"/>
    </row>
    <row r="126" ht="18" customHeight="1">
      <c r="E126" s="296"/>
    </row>
    <row r="127" ht="18" customHeight="1">
      <c r="E127" s="296"/>
    </row>
    <row r="128" ht="18" customHeight="1">
      <c r="E128" s="296"/>
    </row>
    <row r="129" ht="18" customHeight="1">
      <c r="E129" s="296"/>
    </row>
    <row r="130" ht="18" customHeight="1">
      <c r="E130" s="296"/>
    </row>
    <row r="131" ht="18" customHeight="1">
      <c r="E131" s="296"/>
    </row>
    <row r="132" ht="18" customHeight="1">
      <c r="E132" s="296"/>
    </row>
    <row r="133" ht="18" customHeight="1">
      <c r="E133" s="296"/>
    </row>
    <row r="134" ht="18" customHeight="1">
      <c r="E134" s="296"/>
    </row>
    <row r="135" ht="18" customHeight="1">
      <c r="E135" s="296"/>
    </row>
    <row r="136" ht="18" customHeight="1">
      <c r="E136" s="296"/>
    </row>
    <row r="137" ht="18" customHeight="1">
      <c r="E137" s="296"/>
    </row>
    <row r="138" ht="18" customHeight="1">
      <c r="E138" s="296"/>
    </row>
    <row r="139" ht="18" customHeight="1">
      <c r="E139" s="296"/>
    </row>
    <row r="140" ht="18" customHeight="1">
      <c r="E140" s="296"/>
    </row>
    <row r="141" ht="18" customHeight="1">
      <c r="E141" s="296"/>
    </row>
  </sheetData>
  <sheetProtection selectLockedCells="1" selectUnlockedCells="1"/>
  <mergeCells count="9">
    <mergeCell ref="A13:D13"/>
    <mergeCell ref="A1:H1"/>
    <mergeCell ref="A2:A3"/>
    <mergeCell ref="B2:B3"/>
    <mergeCell ref="C2:C3"/>
    <mergeCell ref="D2:D3"/>
    <mergeCell ref="E2:E3"/>
    <mergeCell ref="F2:F3"/>
    <mergeCell ref="G2:G3"/>
  </mergeCells>
  <printOptions/>
  <pageMargins left="0.5902777777777778" right="0.5902777777777778" top="0.9854166666666666" bottom="0.7555555555555555" header="0.5902777777777778" footer="0.5902777777777778"/>
  <pageSetup horizontalDpi="300" verticalDpi="300" orientation="landscape" paperSize="9" scale="96" r:id="rId1"/>
  <headerFooter alignWithMargins="0">
    <oddHeader>&amp;R&amp;"Times New Roman,Normalny"&amp;12Załącznik Nr 12 do Uchwały  Nr III/12/2010 Rady Miejskiej w Barlinku z dnia 30 grudnia 2010</oddHeader>
    <oddFooter>&amp;C&amp;"Times New Roman,Normalny"&amp;12Strona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0"/>
  <sheetViews>
    <sheetView showGridLines="0" tabSelected="1" defaultGridColor="0" view="pageBreakPreview" zoomScaleSheetLayoutView="100" colorId="15" workbookViewId="0" topLeftCell="A1">
      <selection activeCell="F4" sqref="F4"/>
    </sheetView>
  </sheetViews>
  <sheetFormatPr defaultColWidth="9.00390625" defaultRowHeight="18" customHeight="1"/>
  <cols>
    <col min="1" max="1" width="6.00390625" style="279" customWidth="1"/>
    <col min="2" max="2" width="8.25390625" style="280" customWidth="1"/>
    <col min="3" max="3" width="5.875" style="280" customWidth="1"/>
    <col min="4" max="4" width="70.75390625" style="281" customWidth="1"/>
    <col min="5" max="5" width="14.375" style="280" customWidth="1"/>
    <col min="6" max="6" width="14.25390625" style="280" customWidth="1"/>
    <col min="7" max="7" width="12.75390625" style="280" customWidth="1"/>
    <col min="8" max="16384" width="9.00390625" style="280" customWidth="1"/>
  </cols>
  <sheetData>
    <row r="1" spans="1:7" ht="46.5" customHeight="1">
      <c r="A1" s="545" t="s">
        <v>398</v>
      </c>
      <c r="B1" s="545"/>
      <c r="C1" s="545"/>
      <c r="D1" s="545"/>
      <c r="E1" s="545"/>
      <c r="F1" s="545"/>
      <c r="G1" s="545"/>
    </row>
    <row r="2" spans="1:7" s="105" customFormat="1" ht="16.5" customHeight="1">
      <c r="A2" s="546" t="s">
        <v>1</v>
      </c>
      <c r="B2" s="547" t="s">
        <v>21</v>
      </c>
      <c r="C2" s="547" t="s">
        <v>22</v>
      </c>
      <c r="D2" s="547" t="s">
        <v>23</v>
      </c>
      <c r="E2" s="547" t="s">
        <v>399</v>
      </c>
      <c r="F2" s="547" t="s">
        <v>400</v>
      </c>
      <c r="G2" s="547" t="s">
        <v>392</v>
      </c>
    </row>
    <row r="3" spans="1:7" s="106" customFormat="1" ht="34.5" customHeight="1">
      <c r="A3" s="546"/>
      <c r="B3" s="547"/>
      <c r="C3" s="547"/>
      <c r="D3" s="547"/>
      <c r="E3" s="547"/>
      <c r="F3" s="547"/>
      <c r="G3" s="547"/>
    </row>
    <row r="4" spans="1:7" s="288" customFormat="1" ht="12.75" customHeight="1">
      <c r="A4" s="285">
        <v>1</v>
      </c>
      <c r="B4" s="286">
        <v>2</v>
      </c>
      <c r="C4" s="286">
        <v>3</v>
      </c>
      <c r="D4" s="286">
        <v>4</v>
      </c>
      <c r="E4" s="286">
        <v>5</v>
      </c>
      <c r="F4" s="286">
        <v>6</v>
      </c>
      <c r="G4" s="286">
        <v>7</v>
      </c>
    </row>
    <row r="5" spans="1:7" ht="18" customHeight="1">
      <c r="A5" s="289" t="s">
        <v>14</v>
      </c>
      <c r="B5" s="289" t="s">
        <v>120</v>
      </c>
      <c r="C5" s="289"/>
      <c r="D5" s="290" t="s">
        <v>121</v>
      </c>
      <c r="E5" s="294">
        <f>SUM(E6:E9)</f>
        <v>267900</v>
      </c>
      <c r="F5" s="294">
        <f>SUM(F6:F9)</f>
        <v>483103</v>
      </c>
      <c r="G5" s="294">
        <f>SUM(G6:G9)</f>
        <v>750803</v>
      </c>
    </row>
    <row r="6" spans="1:7" ht="48" customHeight="1">
      <c r="A6" s="62"/>
      <c r="B6" s="62"/>
      <c r="C6" s="62" t="s">
        <v>31</v>
      </c>
      <c r="D6" s="63" t="s">
        <v>393</v>
      </c>
      <c r="E6" s="293">
        <v>200</v>
      </c>
      <c r="F6" s="293">
        <v>12696</v>
      </c>
      <c r="G6" s="293">
        <f>SUM(F6)</f>
        <v>12696</v>
      </c>
    </row>
    <row r="7" spans="1:7" ht="18" customHeight="1">
      <c r="A7" s="62"/>
      <c r="B7" s="62"/>
      <c r="C7" s="62" t="s">
        <v>60</v>
      </c>
      <c r="D7" s="63" t="s">
        <v>61</v>
      </c>
      <c r="E7" s="293">
        <v>267400</v>
      </c>
      <c r="F7" s="293">
        <v>467950</v>
      </c>
      <c r="G7" s="293">
        <f>SUM(F7,E7)</f>
        <v>735350</v>
      </c>
    </row>
    <row r="8" spans="1:7" ht="18" customHeight="1">
      <c r="A8" s="62"/>
      <c r="B8" s="62"/>
      <c r="C8" s="62" t="s">
        <v>52</v>
      </c>
      <c r="D8" s="63" t="s">
        <v>53</v>
      </c>
      <c r="E8" s="293">
        <v>300</v>
      </c>
      <c r="F8" s="293">
        <v>1500</v>
      </c>
      <c r="G8" s="297">
        <f>SUM(F8,E8)</f>
        <v>1800</v>
      </c>
    </row>
    <row r="9" spans="1:7" ht="18" customHeight="1">
      <c r="A9" s="61"/>
      <c r="B9" s="62"/>
      <c r="C9" s="62" t="s">
        <v>118</v>
      </c>
      <c r="D9" s="63" t="s">
        <v>119</v>
      </c>
      <c r="E9" s="293"/>
      <c r="F9" s="292">
        <v>957</v>
      </c>
      <c r="G9" s="297">
        <f>SUM(F9,E9)</f>
        <v>957</v>
      </c>
    </row>
    <row r="10" spans="1:7" ht="18" customHeight="1">
      <c r="A10" s="62"/>
      <c r="B10" s="289" t="s">
        <v>397</v>
      </c>
      <c r="C10" s="62"/>
      <c r="D10" s="290" t="s">
        <v>127</v>
      </c>
      <c r="E10" s="294">
        <v>0</v>
      </c>
      <c r="F10" s="294">
        <f>SUM(F11)</f>
        <v>288750</v>
      </c>
      <c r="G10" s="298">
        <f>SUM(F10)</f>
        <v>288750</v>
      </c>
    </row>
    <row r="11" spans="1:7" ht="18" customHeight="1">
      <c r="A11" s="62"/>
      <c r="B11" s="289"/>
      <c r="C11" s="62" t="s">
        <v>394</v>
      </c>
      <c r="D11" s="63" t="s">
        <v>61</v>
      </c>
      <c r="E11" s="293">
        <v>174720</v>
      </c>
      <c r="F11" s="293">
        <v>288750</v>
      </c>
      <c r="G11" s="297">
        <f>SUM(F11)</f>
        <v>288750</v>
      </c>
    </row>
    <row r="12" spans="1:7" ht="18" customHeight="1">
      <c r="A12" s="548" t="s">
        <v>163</v>
      </c>
      <c r="B12" s="548"/>
      <c r="C12" s="548"/>
      <c r="D12" s="548"/>
      <c r="E12" s="295">
        <f>E5+E10</f>
        <v>267900</v>
      </c>
      <c r="F12" s="295">
        <f>F5+F10</f>
        <v>771853</v>
      </c>
      <c r="G12" s="295">
        <f>G5+G10</f>
        <v>1039553</v>
      </c>
    </row>
    <row r="13" spans="5:7" ht="18" customHeight="1">
      <c r="E13" s="296"/>
      <c r="F13" s="296"/>
      <c r="G13" s="299"/>
    </row>
    <row r="14" spans="5:7" ht="18" customHeight="1">
      <c r="E14" s="296"/>
      <c r="F14" s="296"/>
      <c r="G14" s="299"/>
    </row>
    <row r="15" spans="5:7" ht="18" customHeight="1">
      <c r="E15" s="296"/>
      <c r="F15" s="296"/>
      <c r="G15" s="299"/>
    </row>
    <row r="16" spans="5:7" ht="18" customHeight="1">
      <c r="E16" s="296"/>
      <c r="F16" s="296"/>
      <c r="G16" s="299"/>
    </row>
    <row r="17" spans="5:7" ht="18" customHeight="1">
      <c r="E17" s="296"/>
      <c r="F17" s="296"/>
      <c r="G17" s="299"/>
    </row>
    <row r="18" spans="5:7" ht="18" customHeight="1">
      <c r="E18" s="296"/>
      <c r="F18" s="296"/>
      <c r="G18" s="299"/>
    </row>
    <row r="19" spans="5:7" ht="18" customHeight="1">
      <c r="E19" s="296"/>
      <c r="F19" s="296"/>
      <c r="G19" s="299"/>
    </row>
    <row r="20" spans="5:7" ht="18" customHeight="1">
      <c r="E20" s="296"/>
      <c r="F20" s="296"/>
      <c r="G20" s="299"/>
    </row>
    <row r="21" spans="5:7" ht="18" customHeight="1">
      <c r="E21" s="296"/>
      <c r="F21" s="296"/>
      <c r="G21" s="299"/>
    </row>
    <row r="22" spans="5:7" ht="18" customHeight="1">
      <c r="E22" s="296"/>
      <c r="F22" s="296"/>
      <c r="G22" s="299"/>
    </row>
    <row r="23" spans="5:7" ht="18" customHeight="1">
      <c r="E23" s="296"/>
      <c r="F23" s="296"/>
      <c r="G23" s="299"/>
    </row>
    <row r="24" spans="5:7" ht="18" customHeight="1">
      <c r="E24" s="296"/>
      <c r="F24" s="296"/>
      <c r="G24" s="299"/>
    </row>
    <row r="25" spans="5:7" ht="18" customHeight="1">
      <c r="E25" s="296"/>
      <c r="F25" s="296"/>
      <c r="G25" s="299"/>
    </row>
    <row r="26" spans="5:7" ht="18" customHeight="1">
      <c r="E26" s="296"/>
      <c r="F26" s="296"/>
      <c r="G26" s="299"/>
    </row>
    <row r="27" spans="5:7" ht="18" customHeight="1">
      <c r="E27" s="296"/>
      <c r="F27" s="296"/>
      <c r="G27" s="299"/>
    </row>
    <row r="28" spans="5:7" ht="18" customHeight="1">
      <c r="E28" s="296"/>
      <c r="F28" s="296"/>
      <c r="G28" s="299"/>
    </row>
    <row r="29" spans="5:7" ht="18" customHeight="1">
      <c r="E29" s="296"/>
      <c r="F29" s="296"/>
      <c r="G29" s="299"/>
    </row>
    <row r="30" spans="5:7" ht="18" customHeight="1">
      <c r="E30" s="296"/>
      <c r="F30" s="296"/>
      <c r="G30" s="299"/>
    </row>
    <row r="31" spans="5:7" ht="18" customHeight="1">
      <c r="E31" s="296"/>
      <c r="F31" s="296"/>
      <c r="G31" s="299"/>
    </row>
    <row r="32" spans="5:7" ht="18" customHeight="1">
      <c r="E32" s="296"/>
      <c r="F32" s="296"/>
      <c r="G32" s="299"/>
    </row>
    <row r="33" spans="5:7" ht="18" customHeight="1">
      <c r="E33" s="296"/>
      <c r="F33" s="296"/>
      <c r="G33" s="299"/>
    </row>
    <row r="34" spans="5:7" ht="18" customHeight="1">
      <c r="E34" s="296"/>
      <c r="F34" s="296"/>
      <c r="G34" s="299"/>
    </row>
    <row r="35" spans="5:7" ht="18" customHeight="1">
      <c r="E35" s="296"/>
      <c r="F35" s="296"/>
      <c r="G35" s="299"/>
    </row>
    <row r="36" spans="5:7" ht="18" customHeight="1">
      <c r="E36" s="296"/>
      <c r="F36" s="296"/>
      <c r="G36" s="299"/>
    </row>
    <row r="37" spans="5:7" ht="18" customHeight="1">
      <c r="E37" s="296"/>
      <c r="F37" s="296"/>
      <c r="G37" s="299"/>
    </row>
    <row r="38" spans="5:7" ht="18" customHeight="1">
      <c r="E38" s="296"/>
      <c r="F38" s="296"/>
      <c r="G38" s="299"/>
    </row>
    <row r="39" spans="5:7" ht="18" customHeight="1">
      <c r="E39" s="296"/>
      <c r="F39" s="296"/>
      <c r="G39" s="299"/>
    </row>
    <row r="40" spans="5:7" ht="18" customHeight="1">
      <c r="E40" s="296"/>
      <c r="F40" s="296"/>
      <c r="G40" s="299"/>
    </row>
    <row r="41" spans="5:7" ht="18" customHeight="1">
      <c r="E41" s="296"/>
      <c r="F41" s="296"/>
      <c r="G41" s="299"/>
    </row>
    <row r="42" spans="5:7" ht="18" customHeight="1">
      <c r="E42" s="296"/>
      <c r="F42" s="296"/>
      <c r="G42" s="299"/>
    </row>
    <row r="43" spans="5:7" ht="18" customHeight="1">
      <c r="E43" s="296"/>
      <c r="F43" s="296"/>
      <c r="G43" s="299"/>
    </row>
    <row r="44" spans="5:7" ht="18" customHeight="1">
      <c r="E44" s="296"/>
      <c r="F44" s="296"/>
      <c r="G44" s="299"/>
    </row>
    <row r="45" spans="5:7" ht="18" customHeight="1">
      <c r="E45" s="296"/>
      <c r="F45" s="296"/>
      <c r="G45" s="299"/>
    </row>
    <row r="46" spans="5:7" ht="18" customHeight="1">
      <c r="E46" s="296"/>
      <c r="F46" s="296"/>
      <c r="G46" s="299"/>
    </row>
    <row r="47" spans="5:7" ht="18" customHeight="1">
      <c r="E47" s="296"/>
      <c r="F47" s="296"/>
      <c r="G47" s="299"/>
    </row>
    <row r="48" spans="5:7" ht="18" customHeight="1">
      <c r="E48" s="296"/>
      <c r="F48" s="296"/>
      <c r="G48" s="299"/>
    </row>
    <row r="49" spans="5:7" ht="18" customHeight="1">
      <c r="E49" s="296"/>
      <c r="F49" s="296"/>
      <c r="G49" s="299"/>
    </row>
    <row r="50" spans="5:7" ht="18" customHeight="1">
      <c r="E50" s="296"/>
      <c r="F50" s="296"/>
      <c r="G50" s="299"/>
    </row>
    <row r="51" spans="5:7" ht="18" customHeight="1">
      <c r="E51" s="296"/>
      <c r="F51" s="296"/>
      <c r="G51" s="299"/>
    </row>
    <row r="52" spans="5:7" ht="18" customHeight="1">
      <c r="E52" s="296"/>
      <c r="F52" s="296"/>
      <c r="G52" s="299"/>
    </row>
    <row r="53" spans="5:7" ht="18" customHeight="1">
      <c r="E53" s="296"/>
      <c r="F53" s="296"/>
      <c r="G53" s="299"/>
    </row>
    <row r="54" spans="5:7" ht="18" customHeight="1">
      <c r="E54" s="296"/>
      <c r="F54" s="296"/>
      <c r="G54" s="299"/>
    </row>
    <row r="55" spans="5:7" ht="18" customHeight="1">
      <c r="E55" s="296"/>
      <c r="F55" s="296"/>
      <c r="G55" s="299"/>
    </row>
    <row r="56" spans="5:7" ht="18" customHeight="1">
      <c r="E56" s="296"/>
      <c r="F56" s="296"/>
      <c r="G56" s="299"/>
    </row>
    <row r="57" spans="5:7" ht="18" customHeight="1">
      <c r="E57" s="296"/>
      <c r="F57" s="296"/>
      <c r="G57" s="299"/>
    </row>
    <row r="58" spans="5:7" ht="18" customHeight="1">
      <c r="E58" s="296"/>
      <c r="F58" s="296"/>
      <c r="G58" s="299"/>
    </row>
    <row r="59" spans="5:7" ht="18" customHeight="1">
      <c r="E59" s="296"/>
      <c r="F59" s="296"/>
      <c r="G59" s="299"/>
    </row>
    <row r="60" spans="5:7" ht="18" customHeight="1">
      <c r="E60" s="296"/>
      <c r="F60" s="296"/>
      <c r="G60" s="299"/>
    </row>
    <row r="61" spans="5:7" ht="18" customHeight="1">
      <c r="E61" s="296"/>
      <c r="F61" s="296"/>
      <c r="G61" s="299"/>
    </row>
    <row r="62" spans="5:7" ht="18" customHeight="1">
      <c r="E62" s="296"/>
      <c r="F62" s="296"/>
      <c r="G62" s="299"/>
    </row>
    <row r="63" spans="5:7" ht="18" customHeight="1">
      <c r="E63" s="296"/>
      <c r="F63" s="296"/>
      <c r="G63" s="299"/>
    </row>
    <row r="64" spans="5:7" ht="18" customHeight="1">
      <c r="E64" s="296"/>
      <c r="F64" s="296"/>
      <c r="G64" s="299"/>
    </row>
    <row r="65" spans="5:7" ht="18" customHeight="1">
      <c r="E65" s="296"/>
      <c r="F65" s="296"/>
      <c r="G65" s="299"/>
    </row>
    <row r="66" spans="5:7" ht="18" customHeight="1">
      <c r="E66" s="296"/>
      <c r="F66" s="296"/>
      <c r="G66" s="299"/>
    </row>
    <row r="67" spans="5:7" ht="18" customHeight="1">
      <c r="E67" s="296"/>
      <c r="F67" s="296"/>
      <c r="G67" s="299"/>
    </row>
    <row r="68" spans="5:7" ht="18" customHeight="1">
      <c r="E68" s="296"/>
      <c r="F68" s="296"/>
      <c r="G68" s="299"/>
    </row>
    <row r="69" spans="5:7" ht="18" customHeight="1">
      <c r="E69" s="296"/>
      <c r="F69" s="296"/>
      <c r="G69" s="299"/>
    </row>
    <row r="70" spans="5:7" ht="18" customHeight="1">
      <c r="E70" s="296"/>
      <c r="F70" s="296"/>
      <c r="G70" s="299"/>
    </row>
    <row r="71" spans="5:7" ht="18" customHeight="1">
      <c r="E71" s="296"/>
      <c r="F71" s="296"/>
      <c r="G71" s="299"/>
    </row>
    <row r="72" spans="5:7" ht="18" customHeight="1">
      <c r="E72" s="296"/>
      <c r="F72" s="296"/>
      <c r="G72" s="299"/>
    </row>
    <row r="73" spans="5:7" ht="18" customHeight="1">
      <c r="E73" s="296"/>
      <c r="F73" s="296"/>
      <c r="G73" s="299"/>
    </row>
    <row r="74" spans="5:7" ht="18" customHeight="1">
      <c r="E74" s="296"/>
      <c r="F74" s="296"/>
      <c r="G74" s="299"/>
    </row>
    <row r="75" spans="5:7" ht="18" customHeight="1">
      <c r="E75" s="296"/>
      <c r="F75" s="296"/>
      <c r="G75" s="299"/>
    </row>
    <row r="76" spans="5:7" ht="18" customHeight="1">
      <c r="E76" s="296"/>
      <c r="F76" s="296"/>
      <c r="G76" s="299"/>
    </row>
    <row r="77" spans="5:7" ht="18" customHeight="1">
      <c r="E77" s="296"/>
      <c r="F77" s="296"/>
      <c r="G77" s="299"/>
    </row>
    <row r="78" spans="5:7" ht="18" customHeight="1">
      <c r="E78" s="296"/>
      <c r="F78" s="296"/>
      <c r="G78" s="299"/>
    </row>
    <row r="79" spans="5:7" ht="18" customHeight="1">
      <c r="E79" s="296"/>
      <c r="F79" s="296"/>
      <c r="G79" s="299"/>
    </row>
    <row r="80" spans="5:7" ht="18" customHeight="1">
      <c r="E80" s="296"/>
      <c r="F80" s="296"/>
      <c r="G80" s="299"/>
    </row>
    <row r="81" spans="5:7" ht="18" customHeight="1">
      <c r="E81" s="296"/>
      <c r="F81" s="296"/>
      <c r="G81" s="299"/>
    </row>
    <row r="82" spans="5:7" ht="18" customHeight="1">
      <c r="E82" s="296"/>
      <c r="F82" s="296"/>
      <c r="G82" s="299"/>
    </row>
    <row r="83" spans="5:7" ht="18" customHeight="1">
      <c r="E83" s="296"/>
      <c r="F83" s="296"/>
      <c r="G83" s="299"/>
    </row>
    <row r="84" spans="5:7" ht="18" customHeight="1">
      <c r="E84" s="296"/>
      <c r="F84" s="296"/>
      <c r="G84" s="299"/>
    </row>
    <row r="85" spans="5:7" ht="18" customHeight="1">
      <c r="E85" s="296"/>
      <c r="F85" s="296"/>
      <c r="G85" s="299"/>
    </row>
    <row r="86" spans="5:7" ht="18" customHeight="1">
      <c r="E86" s="296"/>
      <c r="F86" s="296"/>
      <c r="G86" s="299"/>
    </row>
    <row r="87" spans="5:7" ht="18" customHeight="1">
      <c r="E87" s="296"/>
      <c r="F87" s="296"/>
      <c r="G87" s="299"/>
    </row>
    <row r="88" spans="5:7" ht="18" customHeight="1">
      <c r="E88" s="296"/>
      <c r="F88" s="296"/>
      <c r="G88" s="299"/>
    </row>
    <row r="89" spans="5:7" ht="18" customHeight="1">
      <c r="E89" s="296"/>
      <c r="F89" s="296"/>
      <c r="G89" s="299"/>
    </row>
    <row r="90" spans="5:7" ht="18" customHeight="1">
      <c r="E90" s="296"/>
      <c r="F90" s="296"/>
      <c r="G90" s="299"/>
    </row>
    <row r="91" spans="5:7" ht="18" customHeight="1">
      <c r="E91" s="296"/>
      <c r="F91" s="296"/>
      <c r="G91" s="299"/>
    </row>
    <row r="92" spans="5:7" ht="18" customHeight="1">
      <c r="E92" s="296"/>
      <c r="F92" s="296"/>
      <c r="G92" s="299"/>
    </row>
    <row r="93" spans="5:7" ht="18" customHeight="1">
      <c r="E93" s="296"/>
      <c r="F93" s="296"/>
      <c r="G93" s="299"/>
    </row>
    <row r="94" spans="5:7" ht="18" customHeight="1">
      <c r="E94" s="296"/>
      <c r="F94" s="296"/>
      <c r="G94" s="299"/>
    </row>
    <row r="95" spans="5:7" ht="18" customHeight="1">
      <c r="E95" s="296"/>
      <c r="F95" s="296"/>
      <c r="G95" s="299"/>
    </row>
    <row r="96" spans="5:7" ht="18" customHeight="1">
      <c r="E96" s="296"/>
      <c r="F96" s="296"/>
      <c r="G96" s="299"/>
    </row>
    <row r="97" spans="5:7" ht="18" customHeight="1">
      <c r="E97" s="296"/>
      <c r="F97" s="296"/>
      <c r="G97" s="299"/>
    </row>
    <row r="98" spans="5:7" ht="18" customHeight="1">
      <c r="E98" s="296"/>
      <c r="F98" s="296"/>
      <c r="G98" s="299"/>
    </row>
    <row r="99" spans="5:7" ht="18" customHeight="1">
      <c r="E99" s="296"/>
      <c r="F99" s="296"/>
      <c r="G99" s="299"/>
    </row>
    <row r="100" spans="5:7" ht="18" customHeight="1">
      <c r="E100" s="296"/>
      <c r="F100" s="296"/>
      <c r="G100" s="299"/>
    </row>
    <row r="101" spans="5:7" ht="18" customHeight="1">
      <c r="E101" s="296"/>
      <c r="F101" s="296"/>
      <c r="G101" s="299"/>
    </row>
    <row r="102" spans="5:7" ht="18" customHeight="1">
      <c r="E102" s="296"/>
      <c r="F102" s="296"/>
      <c r="G102" s="299"/>
    </row>
    <row r="103" spans="5:7" ht="18" customHeight="1">
      <c r="E103" s="296"/>
      <c r="F103" s="296"/>
      <c r="G103" s="299"/>
    </row>
    <row r="104" spans="5:7" ht="18" customHeight="1">
      <c r="E104" s="296"/>
      <c r="F104" s="296"/>
      <c r="G104" s="299"/>
    </row>
    <row r="105" spans="5:7" ht="18" customHeight="1">
      <c r="E105" s="296"/>
      <c r="F105" s="296"/>
      <c r="G105" s="299"/>
    </row>
    <row r="106" spans="5:7" ht="18" customHeight="1">
      <c r="E106" s="296"/>
      <c r="F106" s="296"/>
      <c r="G106" s="299"/>
    </row>
    <row r="107" spans="5:7" ht="18" customHeight="1">
      <c r="E107" s="296"/>
      <c r="F107" s="296"/>
      <c r="G107" s="299"/>
    </row>
    <row r="108" spans="5:7" ht="18" customHeight="1">
      <c r="E108" s="296"/>
      <c r="F108" s="296"/>
      <c r="G108" s="299"/>
    </row>
    <row r="109" spans="5:7" ht="18" customHeight="1">
      <c r="E109" s="296"/>
      <c r="F109" s="296"/>
      <c r="G109" s="299"/>
    </row>
    <row r="110" spans="5:7" ht="18" customHeight="1">
      <c r="E110" s="296"/>
      <c r="F110" s="296"/>
      <c r="G110" s="299"/>
    </row>
    <row r="111" spans="5:7" ht="18" customHeight="1">
      <c r="E111" s="296"/>
      <c r="F111" s="296"/>
      <c r="G111" s="299"/>
    </row>
    <row r="112" spans="5:7" ht="18" customHeight="1">
      <c r="E112" s="296"/>
      <c r="F112" s="296"/>
      <c r="G112" s="299"/>
    </row>
    <row r="113" spans="5:7" ht="18" customHeight="1">
      <c r="E113" s="296"/>
      <c r="F113" s="296"/>
      <c r="G113" s="299"/>
    </row>
    <row r="114" spans="5:7" ht="18" customHeight="1">
      <c r="E114" s="296"/>
      <c r="F114" s="296"/>
      <c r="G114" s="299"/>
    </row>
    <row r="115" spans="5:7" ht="18" customHeight="1">
      <c r="E115" s="296"/>
      <c r="F115" s="296"/>
      <c r="G115" s="299"/>
    </row>
    <row r="116" spans="5:7" ht="18" customHeight="1">
      <c r="E116" s="296"/>
      <c r="F116" s="296"/>
      <c r="G116" s="299"/>
    </row>
    <row r="117" spans="5:7" ht="18" customHeight="1">
      <c r="E117" s="296"/>
      <c r="F117" s="296"/>
      <c r="G117" s="299"/>
    </row>
    <row r="118" spans="5:7" ht="18" customHeight="1">
      <c r="E118" s="296"/>
      <c r="F118" s="296"/>
      <c r="G118" s="299"/>
    </row>
    <row r="119" spans="5:7" ht="18" customHeight="1">
      <c r="E119" s="296"/>
      <c r="F119" s="296"/>
      <c r="G119" s="299"/>
    </row>
    <row r="120" spans="5:7" ht="18" customHeight="1">
      <c r="E120" s="296"/>
      <c r="F120" s="296"/>
      <c r="G120" s="299"/>
    </row>
    <row r="121" spans="5:7" ht="18" customHeight="1">
      <c r="E121" s="296"/>
      <c r="F121" s="296"/>
      <c r="G121" s="299"/>
    </row>
    <row r="122" spans="5:7" ht="18" customHeight="1">
      <c r="E122" s="296"/>
      <c r="F122" s="296"/>
      <c r="G122" s="299"/>
    </row>
    <row r="123" spans="5:7" ht="18" customHeight="1">
      <c r="E123" s="296"/>
      <c r="F123" s="296"/>
      <c r="G123" s="299"/>
    </row>
    <row r="124" spans="5:7" ht="18" customHeight="1">
      <c r="E124" s="296"/>
      <c r="F124" s="296"/>
      <c r="G124" s="299"/>
    </row>
    <row r="125" spans="5:7" ht="18" customHeight="1">
      <c r="E125" s="296"/>
      <c r="F125" s="296"/>
      <c r="G125" s="299"/>
    </row>
    <row r="126" spans="5:7" ht="18" customHeight="1">
      <c r="E126" s="296"/>
      <c r="F126" s="296"/>
      <c r="G126" s="299"/>
    </row>
    <row r="127" spans="5:7" ht="18" customHeight="1">
      <c r="E127" s="296"/>
      <c r="F127" s="296"/>
      <c r="G127" s="299"/>
    </row>
    <row r="128" spans="5:7" ht="18" customHeight="1">
      <c r="E128" s="296"/>
      <c r="F128" s="296"/>
      <c r="G128" s="299"/>
    </row>
    <row r="129" spans="5:7" ht="18" customHeight="1">
      <c r="E129" s="296"/>
      <c r="F129" s="296"/>
      <c r="G129" s="299"/>
    </row>
    <row r="130" spans="5:7" ht="18" customHeight="1">
      <c r="E130" s="296"/>
      <c r="F130" s="296"/>
      <c r="G130" s="299"/>
    </row>
    <row r="131" spans="5:7" ht="18" customHeight="1">
      <c r="E131" s="296"/>
      <c r="F131" s="296"/>
      <c r="G131" s="299"/>
    </row>
    <row r="132" spans="5:7" ht="18" customHeight="1">
      <c r="E132" s="296"/>
      <c r="F132" s="296"/>
      <c r="G132" s="299"/>
    </row>
    <row r="133" spans="5:7" ht="18" customHeight="1">
      <c r="E133" s="296"/>
      <c r="F133" s="296"/>
      <c r="G133" s="299"/>
    </row>
    <row r="134" spans="5:7" ht="18" customHeight="1">
      <c r="E134" s="296"/>
      <c r="F134" s="296"/>
      <c r="G134" s="299"/>
    </row>
    <row r="135" spans="5:7" ht="18" customHeight="1">
      <c r="E135" s="296"/>
      <c r="F135" s="296"/>
      <c r="G135" s="299"/>
    </row>
    <row r="136" spans="5:7" ht="18" customHeight="1">
      <c r="E136" s="296"/>
      <c r="F136" s="296"/>
      <c r="G136" s="299"/>
    </row>
    <row r="137" spans="5:7" ht="18" customHeight="1">
      <c r="E137" s="296"/>
      <c r="F137" s="296"/>
      <c r="G137" s="299"/>
    </row>
    <row r="138" spans="5:7" ht="18" customHeight="1">
      <c r="E138" s="296"/>
      <c r="F138" s="296"/>
      <c r="G138" s="299"/>
    </row>
    <row r="139" spans="5:7" ht="18" customHeight="1">
      <c r="E139" s="296"/>
      <c r="F139" s="296"/>
      <c r="G139" s="299"/>
    </row>
    <row r="140" spans="5:7" ht="18" customHeight="1">
      <c r="E140" s="296"/>
      <c r="F140" s="296"/>
      <c r="G140" s="299"/>
    </row>
  </sheetData>
  <sheetProtection selectLockedCells="1" selectUnlockedCells="1"/>
  <mergeCells count="9">
    <mergeCell ref="A12:D12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5902777777777778" right="0.5902777777777778" top="0.9534722222222223" bottom="0.7569444444444444" header="0.5902777777777778" footer="0.5902777777777778"/>
  <pageSetup horizontalDpi="300" verticalDpi="300" orientation="landscape" paperSize="9" r:id="rId1"/>
  <headerFooter alignWithMargins="0">
    <oddHeader>&amp;R&amp;"Times New Roman,Normalny"&amp;12Załącznik Nr 13 do Uchwały  Nr III/12/2010 Rady Miejskiej w Barlinku z dnia 30 grudnia 2010</oddHeader>
    <oddFooter>&amp;C&amp;"Times New Roman,Normalny"&amp;12Strona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2"/>
  <sheetViews>
    <sheetView showGridLines="0" defaultGridColor="0" view="pageBreakPreview" zoomScaleSheetLayoutView="100" colorId="15" workbookViewId="0" topLeftCell="A1">
      <selection activeCell="D22" sqref="D22"/>
    </sheetView>
  </sheetViews>
  <sheetFormatPr defaultColWidth="9.00390625" defaultRowHeight="18" customHeight="1"/>
  <cols>
    <col min="1" max="1" width="6.00390625" style="279" customWidth="1"/>
    <col min="2" max="2" width="8.25390625" style="280" customWidth="1"/>
    <col min="3" max="3" width="5.875" style="280" customWidth="1"/>
    <col min="4" max="4" width="70.75390625" style="281" customWidth="1"/>
    <col min="5" max="8" width="12.75390625" style="280" customWidth="1"/>
    <col min="9" max="16384" width="9.00390625" style="280" customWidth="1"/>
  </cols>
  <sheetData>
    <row r="1" spans="1:8" ht="46.5" customHeight="1">
      <c r="A1" s="545" t="s">
        <v>401</v>
      </c>
      <c r="B1" s="545"/>
      <c r="C1" s="545"/>
      <c r="D1" s="545"/>
      <c r="E1" s="545"/>
      <c r="F1" s="545"/>
      <c r="G1" s="545"/>
      <c r="H1" s="545"/>
    </row>
    <row r="2" spans="1:8" s="105" customFormat="1" ht="16.5" customHeight="1">
      <c r="A2" s="546" t="s">
        <v>1</v>
      </c>
      <c r="B2" s="547" t="s">
        <v>21</v>
      </c>
      <c r="C2" s="549" t="s">
        <v>22</v>
      </c>
      <c r="D2" s="547" t="s">
        <v>23</v>
      </c>
      <c r="E2" s="547" t="s">
        <v>402</v>
      </c>
      <c r="F2" s="547" t="s">
        <v>403</v>
      </c>
      <c r="G2" s="547" t="s">
        <v>404</v>
      </c>
      <c r="H2" s="550" t="s">
        <v>392</v>
      </c>
    </row>
    <row r="3" spans="1:8" s="106" customFormat="1" ht="34.5" customHeight="1">
      <c r="A3" s="546"/>
      <c r="B3" s="547"/>
      <c r="C3" s="549"/>
      <c r="D3" s="547"/>
      <c r="E3" s="547"/>
      <c r="F3" s="547"/>
      <c r="G3" s="547"/>
      <c r="H3" s="550"/>
    </row>
    <row r="4" spans="1:8" s="288" customFormat="1" ht="12.75" customHeight="1">
      <c r="A4" s="285">
        <v>1</v>
      </c>
      <c r="B4" s="286">
        <v>2</v>
      </c>
      <c r="C4" s="300">
        <v>3</v>
      </c>
      <c r="D4" s="286">
        <v>4</v>
      </c>
      <c r="E4" s="286">
        <v>5</v>
      </c>
      <c r="F4" s="286">
        <v>6</v>
      </c>
      <c r="G4" s="286">
        <v>7</v>
      </c>
      <c r="H4" s="301">
        <v>8</v>
      </c>
    </row>
    <row r="5" spans="1:8" ht="18" customHeight="1">
      <c r="A5" s="289" t="s">
        <v>14</v>
      </c>
      <c r="B5" s="289">
        <v>80110</v>
      </c>
      <c r="C5" s="302"/>
      <c r="D5" s="290" t="s">
        <v>125</v>
      </c>
      <c r="E5" s="294">
        <f>SUM(E6:E11)</f>
        <v>11405</v>
      </c>
      <c r="F5" s="294">
        <f>SUM(F6:F11)</f>
        <v>15421</v>
      </c>
      <c r="G5" s="294">
        <f>SUM(G6:G11)</f>
        <v>93</v>
      </c>
      <c r="H5" s="294">
        <f>SUM(H6:H11)</f>
        <v>26919</v>
      </c>
    </row>
    <row r="6" spans="1:8" ht="18" customHeight="1">
      <c r="A6" s="289"/>
      <c r="B6" s="289"/>
      <c r="C6" s="303" t="s">
        <v>45</v>
      </c>
      <c r="D6" s="63" t="s">
        <v>117</v>
      </c>
      <c r="E6" s="292">
        <v>100</v>
      </c>
      <c r="F6" s="292"/>
      <c r="G6" s="292"/>
      <c r="H6" s="292">
        <f>SUM(E6,F6,G6)</f>
        <v>100</v>
      </c>
    </row>
    <row r="7" spans="1:8" ht="48" customHeight="1">
      <c r="A7" s="62"/>
      <c r="B7" s="62"/>
      <c r="C7" s="303" t="s">
        <v>31</v>
      </c>
      <c r="D7" s="63" t="s">
        <v>393</v>
      </c>
      <c r="E7" s="293">
        <v>300</v>
      </c>
      <c r="F7" s="293">
        <v>8150</v>
      </c>
      <c r="G7" s="293">
        <v>0</v>
      </c>
      <c r="H7" s="292">
        <f>SUM(E7,F7)</f>
        <v>8450</v>
      </c>
    </row>
    <row r="8" spans="1:8" ht="18" customHeight="1">
      <c r="A8" s="62"/>
      <c r="B8" s="62"/>
      <c r="C8" s="303" t="s">
        <v>60</v>
      </c>
      <c r="D8" s="63" t="s">
        <v>61</v>
      </c>
      <c r="E8" s="293">
        <v>0</v>
      </c>
      <c r="F8" s="293">
        <v>1110</v>
      </c>
      <c r="G8" s="293">
        <v>0</v>
      </c>
      <c r="H8" s="292">
        <f>SUM(E8,F8)</f>
        <v>1110</v>
      </c>
    </row>
    <row r="9" spans="1:8" ht="18" customHeight="1">
      <c r="A9" s="62"/>
      <c r="B9" s="62"/>
      <c r="C9" s="303" t="s">
        <v>52</v>
      </c>
      <c r="D9" s="63" t="s">
        <v>53</v>
      </c>
      <c r="E9" s="293">
        <v>1500</v>
      </c>
      <c r="F9" s="293">
        <v>2000</v>
      </c>
      <c r="G9" s="297">
        <v>15</v>
      </c>
      <c r="H9" s="292">
        <f>SUM(E9,F9,G9)</f>
        <v>3515</v>
      </c>
    </row>
    <row r="10" spans="1:8" ht="18" customHeight="1">
      <c r="A10" s="61"/>
      <c r="B10" s="62"/>
      <c r="C10" s="303" t="s">
        <v>118</v>
      </c>
      <c r="D10" s="63" t="s">
        <v>119</v>
      </c>
      <c r="E10" s="293">
        <f>1001+1502+7002</f>
        <v>9505</v>
      </c>
      <c r="F10" s="293">
        <v>4161</v>
      </c>
      <c r="G10" s="297"/>
      <c r="H10" s="292">
        <f>SUM(E10,F10,G10)</f>
        <v>13666</v>
      </c>
    </row>
    <row r="11" spans="1:8" ht="18" customHeight="1">
      <c r="A11" s="62"/>
      <c r="B11" s="62"/>
      <c r="C11" s="303" t="s">
        <v>100</v>
      </c>
      <c r="D11" s="63" t="s">
        <v>405</v>
      </c>
      <c r="E11" s="293">
        <v>0</v>
      </c>
      <c r="F11" s="293">
        <v>0</v>
      </c>
      <c r="G11" s="297">
        <v>78</v>
      </c>
      <c r="H11" s="292">
        <f>SUM(G11)</f>
        <v>78</v>
      </c>
    </row>
    <row r="12" spans="1:8" ht="18" customHeight="1">
      <c r="A12" s="62"/>
      <c r="B12" s="289" t="s">
        <v>397</v>
      </c>
      <c r="C12" s="303"/>
      <c r="D12" s="290" t="s">
        <v>127</v>
      </c>
      <c r="E12" s="294">
        <f>SUM(E13)</f>
        <v>132600</v>
      </c>
      <c r="F12" s="294">
        <f>SUM(F13)</f>
        <v>222132</v>
      </c>
      <c r="G12" s="294">
        <f>SUM(G13)</f>
        <v>0</v>
      </c>
      <c r="H12" s="294">
        <f>SUM(H13)</f>
        <v>354732</v>
      </c>
    </row>
    <row r="13" spans="1:8" ht="18" customHeight="1">
      <c r="A13" s="62"/>
      <c r="B13" s="289"/>
      <c r="C13" s="303" t="s">
        <v>394</v>
      </c>
      <c r="D13" s="63" t="s">
        <v>61</v>
      </c>
      <c r="E13" s="293">
        <v>132600</v>
      </c>
      <c r="F13" s="293">
        <v>222132</v>
      </c>
      <c r="G13" s="297">
        <v>0</v>
      </c>
      <c r="H13" s="292">
        <f>SUM(E13,F13)</f>
        <v>354732</v>
      </c>
    </row>
    <row r="14" spans="1:8" ht="18" customHeight="1">
      <c r="A14" s="548" t="s">
        <v>163</v>
      </c>
      <c r="B14" s="548"/>
      <c r="C14" s="548"/>
      <c r="D14" s="548"/>
      <c r="E14" s="295">
        <f>E5+E12</f>
        <v>144005</v>
      </c>
      <c r="F14" s="295">
        <f>F5+F12</f>
        <v>237553</v>
      </c>
      <c r="G14" s="295">
        <f>G5+G12</f>
        <v>93</v>
      </c>
      <c r="H14" s="295">
        <f>H5+H12</f>
        <v>381651</v>
      </c>
    </row>
    <row r="15" spans="5:7" ht="18" customHeight="1">
      <c r="E15" s="296"/>
      <c r="F15" s="296"/>
      <c r="G15" s="299"/>
    </row>
    <row r="16" spans="5:7" ht="18" customHeight="1">
      <c r="E16" s="296"/>
      <c r="F16" s="296"/>
      <c r="G16" s="299"/>
    </row>
    <row r="17" spans="5:7" ht="18" customHeight="1">
      <c r="E17" s="296"/>
      <c r="F17" s="296"/>
      <c r="G17" s="299"/>
    </row>
    <row r="18" spans="5:7" ht="18" customHeight="1">
      <c r="E18" s="296"/>
      <c r="F18" s="296"/>
      <c r="G18" s="299"/>
    </row>
    <row r="19" spans="5:7" ht="18" customHeight="1">
      <c r="E19" s="296"/>
      <c r="F19" s="296"/>
      <c r="G19" s="299"/>
    </row>
    <row r="20" spans="5:7" ht="18" customHeight="1">
      <c r="E20" s="296"/>
      <c r="F20" s="296"/>
      <c r="G20" s="299"/>
    </row>
    <row r="21" spans="5:7" ht="18" customHeight="1">
      <c r="E21" s="296"/>
      <c r="F21" s="296"/>
      <c r="G21" s="299"/>
    </row>
    <row r="22" spans="5:7" ht="18" customHeight="1">
      <c r="E22" s="296"/>
      <c r="F22" s="296"/>
      <c r="G22" s="299"/>
    </row>
    <row r="23" spans="5:7" ht="18" customHeight="1">
      <c r="E23" s="296"/>
      <c r="F23" s="296"/>
      <c r="G23" s="299"/>
    </row>
    <row r="24" spans="5:7" ht="18" customHeight="1">
      <c r="E24" s="296"/>
      <c r="F24" s="296"/>
      <c r="G24" s="299"/>
    </row>
    <row r="25" spans="5:7" ht="18" customHeight="1">
      <c r="E25" s="296"/>
      <c r="F25" s="296"/>
      <c r="G25" s="299"/>
    </row>
    <row r="26" spans="5:7" ht="18" customHeight="1">
      <c r="E26" s="296"/>
      <c r="F26" s="296"/>
      <c r="G26" s="299"/>
    </row>
    <row r="27" spans="5:7" ht="18" customHeight="1">
      <c r="E27" s="296"/>
      <c r="F27" s="296"/>
      <c r="G27" s="299"/>
    </row>
    <row r="28" spans="5:7" ht="18" customHeight="1">
      <c r="E28" s="296"/>
      <c r="F28" s="296"/>
      <c r="G28" s="299"/>
    </row>
    <row r="29" spans="5:7" ht="18" customHeight="1">
      <c r="E29" s="296"/>
      <c r="F29" s="296"/>
      <c r="G29" s="299"/>
    </row>
    <row r="30" spans="5:7" ht="18" customHeight="1">
      <c r="E30" s="296"/>
      <c r="F30" s="296"/>
      <c r="G30" s="299"/>
    </row>
    <row r="31" spans="5:7" ht="18" customHeight="1">
      <c r="E31" s="296"/>
      <c r="F31" s="296"/>
      <c r="G31" s="299"/>
    </row>
    <row r="32" spans="5:7" ht="18" customHeight="1">
      <c r="E32" s="296"/>
      <c r="F32" s="296"/>
      <c r="G32" s="299"/>
    </row>
    <row r="33" spans="5:7" ht="18" customHeight="1">
      <c r="E33" s="296"/>
      <c r="F33" s="296"/>
      <c r="G33" s="299"/>
    </row>
    <row r="34" spans="5:7" ht="18" customHeight="1">
      <c r="E34" s="296"/>
      <c r="F34" s="296"/>
      <c r="G34" s="299"/>
    </row>
    <row r="35" spans="5:7" ht="18" customHeight="1">
      <c r="E35" s="296"/>
      <c r="F35" s="296"/>
      <c r="G35" s="299"/>
    </row>
    <row r="36" spans="5:7" ht="18" customHeight="1">
      <c r="E36" s="296"/>
      <c r="F36" s="296"/>
      <c r="G36" s="299"/>
    </row>
    <row r="37" spans="5:7" ht="18" customHeight="1">
      <c r="E37" s="296"/>
      <c r="F37" s="296"/>
      <c r="G37" s="299"/>
    </row>
    <row r="38" spans="5:7" ht="18" customHeight="1">
      <c r="E38" s="296"/>
      <c r="F38" s="296"/>
      <c r="G38" s="299"/>
    </row>
    <row r="39" spans="5:7" ht="18" customHeight="1">
      <c r="E39" s="296"/>
      <c r="F39" s="296"/>
      <c r="G39" s="299"/>
    </row>
    <row r="40" spans="5:7" ht="18" customHeight="1">
      <c r="E40" s="296"/>
      <c r="F40" s="296"/>
      <c r="G40" s="299"/>
    </row>
    <row r="41" spans="5:7" ht="18" customHeight="1">
      <c r="E41" s="296"/>
      <c r="F41" s="296"/>
      <c r="G41" s="299"/>
    </row>
    <row r="42" spans="5:7" ht="18" customHeight="1">
      <c r="E42" s="296"/>
      <c r="F42" s="296"/>
      <c r="G42" s="299"/>
    </row>
    <row r="43" spans="5:7" ht="18" customHeight="1">
      <c r="E43" s="296"/>
      <c r="F43" s="296"/>
      <c r="G43" s="299"/>
    </row>
    <row r="44" spans="5:7" ht="18" customHeight="1">
      <c r="E44" s="296"/>
      <c r="F44" s="296"/>
      <c r="G44" s="299"/>
    </row>
    <row r="45" spans="5:7" ht="18" customHeight="1">
      <c r="E45" s="296"/>
      <c r="F45" s="296"/>
      <c r="G45" s="299"/>
    </row>
    <row r="46" spans="5:7" ht="18" customHeight="1">
      <c r="E46" s="296"/>
      <c r="F46" s="296"/>
      <c r="G46" s="299"/>
    </row>
    <row r="47" spans="5:7" ht="18" customHeight="1">
      <c r="E47" s="296"/>
      <c r="F47" s="296"/>
      <c r="G47" s="299"/>
    </row>
    <row r="48" spans="5:7" ht="18" customHeight="1">
      <c r="E48" s="296"/>
      <c r="F48" s="296"/>
      <c r="G48" s="299"/>
    </row>
    <row r="49" spans="5:7" ht="18" customHeight="1">
      <c r="E49" s="296"/>
      <c r="F49" s="296"/>
      <c r="G49" s="299"/>
    </row>
    <row r="50" spans="5:7" ht="18" customHeight="1">
      <c r="E50" s="296"/>
      <c r="F50" s="296"/>
      <c r="G50" s="299"/>
    </row>
    <row r="51" spans="5:7" ht="18" customHeight="1">
      <c r="E51" s="296"/>
      <c r="F51" s="296"/>
      <c r="G51" s="299"/>
    </row>
    <row r="52" spans="5:7" ht="18" customHeight="1">
      <c r="E52" s="296"/>
      <c r="F52" s="296"/>
      <c r="G52" s="299"/>
    </row>
    <row r="53" spans="5:7" ht="18" customHeight="1">
      <c r="E53" s="296"/>
      <c r="F53" s="296"/>
      <c r="G53" s="299"/>
    </row>
    <row r="54" spans="5:7" ht="18" customHeight="1">
      <c r="E54" s="296"/>
      <c r="F54" s="296"/>
      <c r="G54" s="299"/>
    </row>
    <row r="55" spans="5:7" ht="18" customHeight="1">
      <c r="E55" s="296"/>
      <c r="F55" s="296"/>
      <c r="G55" s="299"/>
    </row>
    <row r="56" spans="5:7" ht="18" customHeight="1">
      <c r="E56" s="296"/>
      <c r="F56" s="296"/>
      <c r="G56" s="299"/>
    </row>
    <row r="57" spans="5:7" ht="18" customHeight="1">
      <c r="E57" s="296"/>
      <c r="F57" s="296"/>
      <c r="G57" s="299"/>
    </row>
    <row r="58" spans="5:7" ht="18" customHeight="1">
      <c r="E58" s="296"/>
      <c r="F58" s="296"/>
      <c r="G58" s="299"/>
    </row>
    <row r="59" spans="5:7" ht="18" customHeight="1">
      <c r="E59" s="296"/>
      <c r="F59" s="296"/>
      <c r="G59" s="299"/>
    </row>
    <row r="60" spans="5:7" ht="18" customHeight="1">
      <c r="E60" s="296"/>
      <c r="F60" s="296"/>
      <c r="G60" s="299"/>
    </row>
    <row r="61" spans="5:7" ht="18" customHeight="1">
      <c r="E61" s="296"/>
      <c r="F61" s="296"/>
      <c r="G61" s="299"/>
    </row>
    <row r="62" spans="5:7" ht="18" customHeight="1">
      <c r="E62" s="296"/>
      <c r="F62" s="296"/>
      <c r="G62" s="299"/>
    </row>
    <row r="63" spans="5:7" ht="18" customHeight="1">
      <c r="E63" s="296"/>
      <c r="F63" s="296"/>
      <c r="G63" s="299"/>
    </row>
    <row r="64" spans="5:7" ht="18" customHeight="1">
      <c r="E64" s="296"/>
      <c r="F64" s="296"/>
      <c r="G64" s="299"/>
    </row>
    <row r="65" spans="5:7" ht="18" customHeight="1">
      <c r="E65" s="296"/>
      <c r="F65" s="296"/>
      <c r="G65" s="299"/>
    </row>
    <row r="66" spans="5:7" ht="18" customHeight="1">
      <c r="E66" s="296"/>
      <c r="F66" s="296"/>
      <c r="G66" s="299"/>
    </row>
    <row r="67" spans="5:7" ht="18" customHeight="1">
      <c r="E67" s="296"/>
      <c r="F67" s="296"/>
      <c r="G67" s="299"/>
    </row>
    <row r="68" spans="5:7" ht="18" customHeight="1">
      <c r="E68" s="296"/>
      <c r="F68" s="296"/>
      <c r="G68" s="299"/>
    </row>
    <row r="69" spans="5:7" ht="18" customHeight="1">
      <c r="E69" s="296"/>
      <c r="F69" s="296"/>
      <c r="G69" s="299"/>
    </row>
    <row r="70" spans="5:7" ht="18" customHeight="1">
      <c r="E70" s="296"/>
      <c r="F70" s="296"/>
      <c r="G70" s="299"/>
    </row>
    <row r="71" spans="5:7" ht="18" customHeight="1">
      <c r="E71" s="296"/>
      <c r="F71" s="296"/>
      <c r="G71" s="299"/>
    </row>
    <row r="72" spans="5:7" ht="18" customHeight="1">
      <c r="E72" s="296"/>
      <c r="F72" s="296"/>
      <c r="G72" s="299"/>
    </row>
    <row r="73" spans="5:7" ht="18" customHeight="1">
      <c r="E73" s="296"/>
      <c r="F73" s="296"/>
      <c r="G73" s="299"/>
    </row>
    <row r="74" spans="5:7" ht="18" customHeight="1">
      <c r="E74" s="296"/>
      <c r="F74" s="296"/>
      <c r="G74" s="299"/>
    </row>
    <row r="75" spans="5:7" ht="18" customHeight="1">
      <c r="E75" s="296"/>
      <c r="F75" s="296"/>
      <c r="G75" s="299"/>
    </row>
    <row r="76" spans="5:7" ht="18" customHeight="1">
      <c r="E76" s="296"/>
      <c r="F76" s="296"/>
      <c r="G76" s="299"/>
    </row>
    <row r="77" spans="5:7" ht="18" customHeight="1">
      <c r="E77" s="296"/>
      <c r="F77" s="296"/>
      <c r="G77" s="299"/>
    </row>
    <row r="78" spans="5:7" ht="18" customHeight="1">
      <c r="E78" s="296"/>
      <c r="F78" s="296"/>
      <c r="G78" s="299"/>
    </row>
    <row r="79" spans="5:7" ht="18" customHeight="1">
      <c r="E79" s="296"/>
      <c r="F79" s="296"/>
      <c r="G79" s="299"/>
    </row>
    <row r="80" spans="5:7" ht="18" customHeight="1">
      <c r="E80" s="296"/>
      <c r="F80" s="296"/>
      <c r="G80" s="299"/>
    </row>
    <row r="81" spans="5:7" ht="18" customHeight="1">
      <c r="E81" s="296"/>
      <c r="F81" s="296"/>
      <c r="G81" s="299"/>
    </row>
    <row r="82" spans="5:7" ht="18" customHeight="1">
      <c r="E82" s="296"/>
      <c r="F82" s="296"/>
      <c r="G82" s="299"/>
    </row>
    <row r="83" spans="5:7" ht="18" customHeight="1">
      <c r="E83" s="296"/>
      <c r="F83" s="296"/>
      <c r="G83" s="299"/>
    </row>
    <row r="84" spans="5:7" ht="18" customHeight="1">
      <c r="E84" s="296"/>
      <c r="F84" s="296"/>
      <c r="G84" s="299"/>
    </row>
    <row r="85" spans="5:7" ht="18" customHeight="1">
      <c r="E85" s="296"/>
      <c r="F85" s="296"/>
      <c r="G85" s="299"/>
    </row>
    <row r="86" spans="5:7" ht="18" customHeight="1">
      <c r="E86" s="296"/>
      <c r="F86" s="296"/>
      <c r="G86" s="299"/>
    </row>
    <row r="87" spans="5:7" ht="18" customHeight="1">
      <c r="E87" s="296"/>
      <c r="F87" s="296"/>
      <c r="G87" s="299"/>
    </row>
    <row r="88" spans="5:7" ht="18" customHeight="1">
      <c r="E88" s="296"/>
      <c r="F88" s="296"/>
      <c r="G88" s="299"/>
    </row>
    <row r="89" spans="5:7" ht="18" customHeight="1">
      <c r="E89" s="296"/>
      <c r="F89" s="296"/>
      <c r="G89" s="299"/>
    </row>
    <row r="90" spans="5:7" ht="18" customHeight="1">
      <c r="E90" s="296"/>
      <c r="F90" s="296"/>
      <c r="G90" s="299"/>
    </row>
    <row r="91" spans="5:7" ht="18" customHeight="1">
      <c r="E91" s="296"/>
      <c r="F91" s="296"/>
      <c r="G91" s="299"/>
    </row>
    <row r="92" spans="5:7" ht="18" customHeight="1">
      <c r="E92" s="296"/>
      <c r="F92" s="296"/>
      <c r="G92" s="299"/>
    </row>
    <row r="93" spans="5:7" ht="18" customHeight="1">
      <c r="E93" s="296"/>
      <c r="F93" s="296"/>
      <c r="G93" s="299"/>
    </row>
    <row r="94" spans="5:7" ht="18" customHeight="1">
      <c r="E94" s="296"/>
      <c r="F94" s="296"/>
      <c r="G94" s="299"/>
    </row>
    <row r="95" spans="5:7" ht="18" customHeight="1">
      <c r="E95" s="296"/>
      <c r="F95" s="296"/>
      <c r="G95" s="299"/>
    </row>
    <row r="96" spans="5:7" ht="18" customHeight="1">
      <c r="E96" s="296"/>
      <c r="F96" s="296"/>
      <c r="G96" s="299"/>
    </row>
    <row r="97" spans="5:7" ht="18" customHeight="1">
      <c r="E97" s="296"/>
      <c r="F97" s="296"/>
      <c r="G97" s="299"/>
    </row>
    <row r="98" spans="5:7" ht="18" customHeight="1">
      <c r="E98" s="296"/>
      <c r="F98" s="296"/>
      <c r="G98" s="299"/>
    </row>
    <row r="99" spans="5:7" ht="18" customHeight="1">
      <c r="E99" s="296"/>
      <c r="F99" s="296"/>
      <c r="G99" s="299"/>
    </row>
    <row r="100" spans="5:7" ht="18" customHeight="1">
      <c r="E100" s="296"/>
      <c r="F100" s="296"/>
      <c r="G100" s="299"/>
    </row>
    <row r="101" spans="5:7" ht="18" customHeight="1">
      <c r="E101" s="296"/>
      <c r="F101" s="296"/>
      <c r="G101" s="299"/>
    </row>
    <row r="102" spans="5:7" ht="18" customHeight="1">
      <c r="E102" s="296"/>
      <c r="F102" s="296"/>
      <c r="G102" s="299"/>
    </row>
    <row r="103" spans="5:7" ht="18" customHeight="1">
      <c r="E103" s="296"/>
      <c r="F103" s="296"/>
      <c r="G103" s="299"/>
    </row>
    <row r="104" spans="5:7" ht="18" customHeight="1">
      <c r="E104" s="296"/>
      <c r="F104" s="296"/>
      <c r="G104" s="299"/>
    </row>
    <row r="105" spans="5:7" ht="18" customHeight="1">
      <c r="E105" s="296"/>
      <c r="F105" s="296"/>
      <c r="G105" s="299"/>
    </row>
    <row r="106" spans="5:7" ht="18" customHeight="1">
      <c r="E106" s="296"/>
      <c r="F106" s="296"/>
      <c r="G106" s="299"/>
    </row>
    <row r="107" spans="5:7" ht="18" customHeight="1">
      <c r="E107" s="296"/>
      <c r="F107" s="296"/>
      <c r="G107" s="299"/>
    </row>
    <row r="108" spans="5:7" ht="18" customHeight="1">
      <c r="E108" s="296"/>
      <c r="F108" s="296"/>
      <c r="G108" s="299"/>
    </row>
    <row r="109" spans="5:7" ht="18" customHeight="1">
      <c r="E109" s="296"/>
      <c r="F109" s="296"/>
      <c r="G109" s="299"/>
    </row>
    <row r="110" spans="5:7" ht="18" customHeight="1">
      <c r="E110" s="296"/>
      <c r="F110" s="296"/>
      <c r="G110" s="299"/>
    </row>
    <row r="111" spans="5:7" ht="18" customHeight="1">
      <c r="E111" s="296"/>
      <c r="F111" s="296"/>
      <c r="G111" s="299"/>
    </row>
    <row r="112" spans="5:7" ht="18" customHeight="1">
      <c r="E112" s="296"/>
      <c r="F112" s="296"/>
      <c r="G112" s="299"/>
    </row>
    <row r="113" spans="5:7" ht="18" customHeight="1">
      <c r="E113" s="296"/>
      <c r="F113" s="296"/>
      <c r="G113" s="299"/>
    </row>
    <row r="114" spans="5:7" ht="18" customHeight="1">
      <c r="E114" s="296"/>
      <c r="F114" s="296"/>
      <c r="G114" s="299"/>
    </row>
    <row r="115" spans="5:7" ht="18" customHeight="1">
      <c r="E115" s="296"/>
      <c r="F115" s="296"/>
      <c r="G115" s="299"/>
    </row>
    <row r="116" spans="5:7" ht="18" customHeight="1">
      <c r="E116" s="296"/>
      <c r="F116" s="296"/>
      <c r="G116" s="299"/>
    </row>
    <row r="117" spans="5:7" ht="18" customHeight="1">
      <c r="E117" s="296"/>
      <c r="F117" s="296"/>
      <c r="G117" s="299"/>
    </row>
    <row r="118" spans="5:7" ht="18" customHeight="1">
      <c r="E118" s="296"/>
      <c r="F118" s="296"/>
      <c r="G118" s="299"/>
    </row>
    <row r="119" spans="5:7" ht="18" customHeight="1">
      <c r="E119" s="296"/>
      <c r="F119" s="296"/>
      <c r="G119" s="299"/>
    </row>
    <row r="120" spans="5:7" ht="18" customHeight="1">
      <c r="E120" s="296"/>
      <c r="F120" s="296"/>
      <c r="G120" s="299"/>
    </row>
    <row r="121" spans="5:7" ht="18" customHeight="1">
      <c r="E121" s="296"/>
      <c r="F121" s="296"/>
      <c r="G121" s="299"/>
    </row>
    <row r="122" spans="5:7" ht="18" customHeight="1">
      <c r="E122" s="296"/>
      <c r="F122" s="296"/>
      <c r="G122" s="299"/>
    </row>
    <row r="123" spans="5:7" ht="18" customHeight="1">
      <c r="E123" s="296"/>
      <c r="F123" s="296"/>
      <c r="G123" s="299"/>
    </row>
    <row r="124" spans="5:7" ht="18" customHeight="1">
      <c r="E124" s="296"/>
      <c r="F124" s="296"/>
      <c r="G124" s="299"/>
    </row>
    <row r="125" spans="5:7" ht="18" customHeight="1">
      <c r="E125" s="296"/>
      <c r="F125" s="296"/>
      <c r="G125" s="299"/>
    </row>
    <row r="126" spans="5:7" ht="18" customHeight="1">
      <c r="E126" s="296"/>
      <c r="F126" s="296"/>
      <c r="G126" s="299"/>
    </row>
    <row r="127" spans="5:7" ht="18" customHeight="1">
      <c r="E127" s="296"/>
      <c r="F127" s="296"/>
      <c r="G127" s="299"/>
    </row>
    <row r="128" spans="5:7" ht="18" customHeight="1">
      <c r="E128" s="296"/>
      <c r="F128" s="296"/>
      <c r="G128" s="299"/>
    </row>
    <row r="129" spans="5:7" ht="18" customHeight="1">
      <c r="E129" s="296"/>
      <c r="F129" s="296"/>
      <c r="G129" s="299"/>
    </row>
    <row r="130" spans="5:7" ht="18" customHeight="1">
      <c r="E130" s="296"/>
      <c r="F130" s="296"/>
      <c r="G130" s="299"/>
    </row>
    <row r="131" spans="5:7" ht="18" customHeight="1">
      <c r="E131" s="296"/>
      <c r="F131" s="296"/>
      <c r="G131" s="299"/>
    </row>
    <row r="132" spans="5:7" ht="18" customHeight="1">
      <c r="E132" s="296"/>
      <c r="F132" s="296"/>
      <c r="G132" s="299"/>
    </row>
    <row r="133" spans="5:7" ht="18" customHeight="1">
      <c r="E133" s="296"/>
      <c r="F133" s="296"/>
      <c r="G133" s="299"/>
    </row>
    <row r="134" spans="5:7" ht="18" customHeight="1">
      <c r="E134" s="296"/>
      <c r="F134" s="296"/>
      <c r="G134" s="299"/>
    </row>
    <row r="135" spans="5:7" ht="18" customHeight="1">
      <c r="E135" s="296"/>
      <c r="F135" s="296"/>
      <c r="G135" s="299"/>
    </row>
    <row r="136" spans="5:7" ht="18" customHeight="1">
      <c r="E136" s="296"/>
      <c r="F136" s="296"/>
      <c r="G136" s="299"/>
    </row>
    <row r="137" spans="5:7" ht="18" customHeight="1">
      <c r="E137" s="296"/>
      <c r="F137" s="296"/>
      <c r="G137" s="299"/>
    </row>
    <row r="138" spans="5:7" ht="18" customHeight="1">
      <c r="E138" s="296"/>
      <c r="F138" s="296"/>
      <c r="G138" s="299"/>
    </row>
    <row r="139" spans="5:7" ht="18" customHeight="1">
      <c r="E139" s="296"/>
      <c r="F139" s="296"/>
      <c r="G139" s="299"/>
    </row>
    <row r="140" spans="5:7" ht="18" customHeight="1">
      <c r="E140" s="296"/>
      <c r="F140" s="296"/>
      <c r="G140" s="299"/>
    </row>
    <row r="141" spans="5:7" ht="18" customHeight="1">
      <c r="E141" s="296"/>
      <c r="F141" s="296"/>
      <c r="G141" s="299"/>
    </row>
    <row r="142" spans="5:7" ht="18" customHeight="1">
      <c r="E142" s="296"/>
      <c r="F142" s="296"/>
      <c r="G142" s="299"/>
    </row>
  </sheetData>
  <sheetProtection selectLockedCells="1" selectUnlockedCells="1"/>
  <mergeCells count="10">
    <mergeCell ref="A14:D14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902777777777778" right="0.5902777777777778" top="0.9534722222222223" bottom="0.7569444444444444" header="0.5902777777777778" footer="0.5902777777777778"/>
  <pageSetup horizontalDpi="300" verticalDpi="300" orientation="landscape" paperSize="9" scale="96" r:id="rId1"/>
  <headerFooter alignWithMargins="0">
    <oddHeader>&amp;R&amp;"Times New Roman,Normalny"&amp;12Załącznik Nr 14 do Uchwały  Nr III/12/2010 Rady Miejskiej w Barlinku z dnia 30 grudnia 2010</oddHeader>
    <oddFooter>&amp;C&amp;"Times New Roman,Normalny"&amp;12Strona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89"/>
  <sheetViews>
    <sheetView showGridLines="0" defaultGridColor="0" view="pageBreakPreview" zoomScaleSheetLayoutView="100" colorId="15" workbookViewId="0" topLeftCell="B1">
      <pane ySplit="6" topLeftCell="P55" activePane="bottomLeft" state="frozen"/>
      <selection pane="topLeft" activeCell="B1" sqref="B1"/>
      <selection pane="bottomLeft" activeCell="G64" sqref="G64"/>
    </sheetView>
  </sheetViews>
  <sheetFormatPr defaultColWidth="9.00390625" defaultRowHeight="18" customHeight="1"/>
  <cols>
    <col min="1" max="1" width="5.00390625" style="304" customWidth="1"/>
    <col min="2" max="2" width="7.25390625" style="304" customWidth="1"/>
    <col min="3" max="3" width="6.125" style="305" customWidth="1"/>
    <col min="4" max="4" width="45.375" style="306" customWidth="1"/>
    <col min="5" max="6" width="9.375" style="305" customWidth="1"/>
    <col min="7" max="7" width="10.25390625" style="305" customWidth="1"/>
    <col min="8" max="8" width="10.375" style="305" customWidth="1"/>
    <col min="9" max="9" width="9.375" style="305" customWidth="1"/>
    <col min="10" max="10" width="7.875" style="305" customWidth="1"/>
    <col min="11" max="14" width="7.75390625" style="305" customWidth="1"/>
    <col min="15" max="15" width="8.00390625" style="305" customWidth="1"/>
    <col min="16" max="17" width="8.375" style="305" customWidth="1"/>
    <col min="18" max="18" width="7.625" style="305" customWidth="1"/>
    <col min="19" max="16384" width="9.00390625" style="307" customWidth="1"/>
  </cols>
  <sheetData>
    <row r="1" spans="1:18" ht="39.75" customHeight="1">
      <c r="A1" s="551" t="s">
        <v>406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spans="1:18" ht="13.5" customHeight="1">
      <c r="A2" s="536" t="s">
        <v>1</v>
      </c>
      <c r="B2" s="552" t="s">
        <v>21</v>
      </c>
      <c r="C2" s="552" t="s">
        <v>22</v>
      </c>
      <c r="D2" s="552" t="s">
        <v>186</v>
      </c>
      <c r="E2" s="552" t="s">
        <v>187</v>
      </c>
      <c r="F2" s="553" t="s">
        <v>188</v>
      </c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1:18" ht="13.5" customHeight="1">
      <c r="A3" s="536"/>
      <c r="B3" s="552"/>
      <c r="C3" s="552"/>
      <c r="D3" s="552"/>
      <c r="E3" s="552"/>
      <c r="F3" s="554" t="s">
        <v>177</v>
      </c>
      <c r="G3" s="555" t="s">
        <v>25</v>
      </c>
      <c r="H3" s="555"/>
      <c r="I3" s="555"/>
      <c r="J3" s="555"/>
      <c r="K3" s="555"/>
      <c r="L3" s="555"/>
      <c r="M3" s="555"/>
      <c r="N3" s="555"/>
      <c r="O3" s="542" t="s">
        <v>189</v>
      </c>
      <c r="P3" s="555" t="s">
        <v>25</v>
      </c>
      <c r="Q3" s="555"/>
      <c r="R3" s="555"/>
    </row>
    <row r="4" spans="1:18" ht="13.5" customHeight="1">
      <c r="A4" s="536"/>
      <c r="B4" s="552"/>
      <c r="C4" s="552"/>
      <c r="D4" s="552"/>
      <c r="E4" s="552"/>
      <c r="F4" s="554"/>
      <c r="G4" s="554" t="s">
        <v>190</v>
      </c>
      <c r="H4" s="555" t="s">
        <v>191</v>
      </c>
      <c r="I4" s="555"/>
      <c r="J4" s="542" t="s">
        <v>192</v>
      </c>
      <c r="K4" s="542" t="s">
        <v>193</v>
      </c>
      <c r="L4" s="542" t="s">
        <v>200</v>
      </c>
      <c r="M4" s="542" t="s">
        <v>194</v>
      </c>
      <c r="N4" s="542" t="s">
        <v>195</v>
      </c>
      <c r="O4" s="542"/>
      <c r="P4" s="542" t="s">
        <v>196</v>
      </c>
      <c r="Q4" s="233" t="s">
        <v>25</v>
      </c>
      <c r="R4" s="542" t="s">
        <v>197</v>
      </c>
    </row>
    <row r="5" spans="1:18" ht="108" customHeight="1">
      <c r="A5" s="536"/>
      <c r="B5" s="552"/>
      <c r="C5" s="552"/>
      <c r="D5" s="552"/>
      <c r="E5" s="552"/>
      <c r="F5" s="554"/>
      <c r="G5" s="554"/>
      <c r="H5" s="232" t="s">
        <v>198</v>
      </c>
      <c r="I5" s="232" t="s">
        <v>199</v>
      </c>
      <c r="J5" s="542"/>
      <c r="K5" s="542"/>
      <c r="L5" s="542"/>
      <c r="M5" s="542"/>
      <c r="N5" s="542"/>
      <c r="O5" s="542"/>
      <c r="P5" s="542"/>
      <c r="Q5" s="234" t="s">
        <v>200</v>
      </c>
      <c r="R5" s="542"/>
    </row>
    <row r="6" spans="1:18" s="309" customFormat="1" ht="12" customHeight="1">
      <c r="A6" s="308">
        <v>1</v>
      </c>
      <c r="B6" s="308">
        <v>2</v>
      </c>
      <c r="C6" s="308">
        <v>3</v>
      </c>
      <c r="D6" s="308">
        <v>4</v>
      </c>
      <c r="E6" s="308">
        <v>5</v>
      </c>
      <c r="F6" s="308">
        <v>6</v>
      </c>
      <c r="G6" s="308">
        <v>7</v>
      </c>
      <c r="H6" s="308">
        <v>8</v>
      </c>
      <c r="I6" s="308">
        <v>9</v>
      </c>
      <c r="J6" s="308">
        <v>10</v>
      </c>
      <c r="K6" s="308">
        <v>11</v>
      </c>
      <c r="L6" s="308">
        <v>12</v>
      </c>
      <c r="M6" s="308">
        <v>13</v>
      </c>
      <c r="N6" s="308">
        <v>14</v>
      </c>
      <c r="O6" s="308">
        <v>15</v>
      </c>
      <c r="P6" s="308">
        <v>16</v>
      </c>
      <c r="Q6" s="308">
        <v>17</v>
      </c>
      <c r="R6" s="308">
        <v>18</v>
      </c>
    </row>
    <row r="7" spans="1:18" ht="16.5" customHeight="1">
      <c r="A7" s="310">
        <v>801</v>
      </c>
      <c r="B7" s="310"/>
      <c r="C7" s="310"/>
      <c r="D7" s="310" t="s">
        <v>115</v>
      </c>
      <c r="E7" s="311">
        <f aca="true" t="shared" si="0" ref="E7:R7">E30+E40+E46+E60+E8</f>
        <v>4399452</v>
      </c>
      <c r="F7" s="311">
        <f t="shared" si="0"/>
        <v>3599452</v>
      </c>
      <c r="G7" s="311">
        <f t="shared" si="0"/>
        <v>3588310</v>
      </c>
      <c r="H7" s="311">
        <f t="shared" si="0"/>
        <v>2930534</v>
      </c>
      <c r="I7" s="311">
        <f t="shared" si="0"/>
        <v>657776</v>
      </c>
      <c r="J7" s="311">
        <f t="shared" si="0"/>
        <v>0</v>
      </c>
      <c r="K7" s="311">
        <f t="shared" si="0"/>
        <v>11142</v>
      </c>
      <c r="L7" s="311">
        <f t="shared" si="0"/>
        <v>0</v>
      </c>
      <c r="M7" s="311">
        <f t="shared" si="0"/>
        <v>0</v>
      </c>
      <c r="N7" s="311">
        <f t="shared" si="0"/>
        <v>0</v>
      </c>
      <c r="O7" s="311">
        <f t="shared" si="0"/>
        <v>800000</v>
      </c>
      <c r="P7" s="311">
        <f t="shared" si="0"/>
        <v>800000</v>
      </c>
      <c r="Q7" s="311">
        <f t="shared" si="0"/>
        <v>800000</v>
      </c>
      <c r="R7" s="311">
        <f t="shared" si="0"/>
        <v>0</v>
      </c>
    </row>
    <row r="8" spans="1:18" ht="16.5" customHeight="1">
      <c r="A8" s="312"/>
      <c r="B8" s="312">
        <v>80101</v>
      </c>
      <c r="C8" s="312"/>
      <c r="D8" s="313" t="s">
        <v>116</v>
      </c>
      <c r="E8" s="314">
        <f aca="true" t="shared" si="1" ref="E8:R8">SUM(E9:E29)</f>
        <v>3936983</v>
      </c>
      <c r="F8" s="314">
        <f t="shared" si="1"/>
        <v>3136983</v>
      </c>
      <c r="G8" s="314">
        <f t="shared" si="1"/>
        <v>3127775</v>
      </c>
      <c r="H8" s="314">
        <f t="shared" si="1"/>
        <v>2674190</v>
      </c>
      <c r="I8" s="314">
        <f t="shared" si="1"/>
        <v>453585</v>
      </c>
      <c r="J8" s="314">
        <f t="shared" si="1"/>
        <v>0</v>
      </c>
      <c r="K8" s="314">
        <f t="shared" si="1"/>
        <v>9208</v>
      </c>
      <c r="L8" s="314">
        <f t="shared" si="1"/>
        <v>0</v>
      </c>
      <c r="M8" s="314">
        <f t="shared" si="1"/>
        <v>0</v>
      </c>
      <c r="N8" s="314">
        <f t="shared" si="1"/>
        <v>0</v>
      </c>
      <c r="O8" s="314">
        <f t="shared" si="1"/>
        <v>800000</v>
      </c>
      <c r="P8" s="314">
        <f t="shared" si="1"/>
        <v>800000</v>
      </c>
      <c r="Q8" s="314">
        <f t="shared" si="1"/>
        <v>800000</v>
      </c>
      <c r="R8" s="314">
        <f t="shared" si="1"/>
        <v>0</v>
      </c>
    </row>
    <row r="9" spans="1:18" ht="17.25" customHeight="1">
      <c r="A9" s="315"/>
      <c r="B9" s="315"/>
      <c r="C9" s="316">
        <v>3020</v>
      </c>
      <c r="D9" s="317" t="s">
        <v>407</v>
      </c>
      <c r="E9" s="318">
        <f aca="true" t="shared" si="2" ref="E9:E27">F9+P9</f>
        <v>8572</v>
      </c>
      <c r="F9" s="318">
        <f aca="true" t="shared" si="3" ref="F9:F29">G9+J9+K9+L9+M9+N9</f>
        <v>8572</v>
      </c>
      <c r="G9" s="318"/>
      <c r="H9" s="318"/>
      <c r="I9" s="318"/>
      <c r="J9" s="318"/>
      <c r="K9" s="318">
        <v>8572</v>
      </c>
      <c r="L9" s="318"/>
      <c r="M9" s="318"/>
      <c r="N9" s="318"/>
      <c r="O9" s="318"/>
      <c r="P9" s="318"/>
      <c r="Q9" s="318"/>
      <c r="R9" s="318"/>
    </row>
    <row r="10" spans="1:18" ht="17.25" customHeight="1">
      <c r="A10" s="315"/>
      <c r="B10" s="315"/>
      <c r="C10" s="316">
        <v>3050</v>
      </c>
      <c r="D10" s="317" t="s">
        <v>408</v>
      </c>
      <c r="E10" s="318">
        <f t="shared" si="2"/>
        <v>636</v>
      </c>
      <c r="F10" s="318">
        <f t="shared" si="3"/>
        <v>636</v>
      </c>
      <c r="G10" s="318"/>
      <c r="H10" s="318"/>
      <c r="I10" s="318"/>
      <c r="J10" s="318"/>
      <c r="K10" s="318">
        <v>636</v>
      </c>
      <c r="L10" s="318"/>
      <c r="M10" s="318"/>
      <c r="N10" s="318"/>
      <c r="O10" s="318"/>
      <c r="P10" s="318"/>
      <c r="Q10" s="318"/>
      <c r="R10" s="318"/>
    </row>
    <row r="11" spans="1:18" ht="17.25" customHeight="1">
      <c r="A11" s="315"/>
      <c r="B11" s="315"/>
      <c r="C11" s="316">
        <v>4010</v>
      </c>
      <c r="D11" s="317" t="s">
        <v>265</v>
      </c>
      <c r="E11" s="318">
        <f t="shared" si="2"/>
        <v>2083128</v>
      </c>
      <c r="F11" s="318">
        <f t="shared" si="3"/>
        <v>2083128</v>
      </c>
      <c r="G11" s="318">
        <f aca="true" t="shared" si="4" ref="G11:G29">H11+I11</f>
        <v>2083128</v>
      </c>
      <c r="H11" s="318">
        <f>(248737+15000+41880+4437)+(1182623+290093+200217+21600+100+28800+3600+3358+32252+10431)</f>
        <v>2083128</v>
      </c>
      <c r="I11" s="318"/>
      <c r="J11" s="318"/>
      <c r="K11" s="318"/>
      <c r="L11" s="318"/>
      <c r="M11" s="318"/>
      <c r="N11" s="318"/>
      <c r="O11" s="318"/>
      <c r="P11" s="318"/>
      <c r="Q11" s="318"/>
      <c r="R11" s="318"/>
    </row>
    <row r="12" spans="1:18" ht="17.25" customHeight="1">
      <c r="A12" s="315"/>
      <c r="B12" s="315"/>
      <c r="C12" s="316">
        <v>4040</v>
      </c>
      <c r="D12" s="317" t="s">
        <v>283</v>
      </c>
      <c r="E12" s="318">
        <f t="shared" si="2"/>
        <v>176433</v>
      </c>
      <c r="F12" s="318">
        <f t="shared" si="3"/>
        <v>176433</v>
      </c>
      <c r="G12" s="318">
        <f t="shared" si="4"/>
        <v>176433</v>
      </c>
      <c r="H12" s="318">
        <v>176433</v>
      </c>
      <c r="I12" s="318"/>
      <c r="J12" s="318"/>
      <c r="K12" s="318"/>
      <c r="L12" s="318"/>
      <c r="M12" s="318"/>
      <c r="N12" s="318"/>
      <c r="O12" s="318"/>
      <c r="P12" s="318"/>
      <c r="Q12" s="318"/>
      <c r="R12" s="318"/>
    </row>
    <row r="13" spans="1:18" ht="17.25" customHeight="1">
      <c r="A13" s="315"/>
      <c r="B13" s="315"/>
      <c r="C13" s="316">
        <v>4110</v>
      </c>
      <c r="D13" s="317" t="s">
        <v>284</v>
      </c>
      <c r="E13" s="318">
        <f t="shared" si="2"/>
        <v>359270</v>
      </c>
      <c r="F13" s="318">
        <f t="shared" si="3"/>
        <v>359270</v>
      </c>
      <c r="G13" s="318">
        <f t="shared" si="4"/>
        <v>359270</v>
      </c>
      <c r="H13" s="318">
        <v>359270</v>
      </c>
      <c r="I13" s="318"/>
      <c r="J13" s="318"/>
      <c r="K13" s="318"/>
      <c r="L13" s="318"/>
      <c r="M13" s="318"/>
      <c r="N13" s="318"/>
      <c r="O13" s="318"/>
      <c r="P13" s="318"/>
      <c r="Q13" s="318"/>
      <c r="R13" s="318"/>
    </row>
    <row r="14" spans="1:18" ht="17.25" customHeight="1">
      <c r="A14" s="315"/>
      <c r="B14" s="315"/>
      <c r="C14" s="316">
        <v>4120</v>
      </c>
      <c r="D14" s="317" t="s">
        <v>285</v>
      </c>
      <c r="E14" s="318">
        <f t="shared" si="2"/>
        <v>55359</v>
      </c>
      <c r="F14" s="318">
        <f t="shared" si="3"/>
        <v>55359</v>
      </c>
      <c r="G14" s="318">
        <f t="shared" si="4"/>
        <v>55359</v>
      </c>
      <c r="H14" s="318">
        <v>55359</v>
      </c>
      <c r="I14" s="318"/>
      <c r="J14" s="318"/>
      <c r="K14" s="318"/>
      <c r="L14" s="318"/>
      <c r="M14" s="318"/>
      <c r="N14" s="318"/>
      <c r="O14" s="318"/>
      <c r="P14" s="318"/>
      <c r="Q14" s="318"/>
      <c r="R14" s="318"/>
    </row>
    <row r="15" spans="1:18" ht="17.25" customHeight="1">
      <c r="A15" s="315"/>
      <c r="B15" s="315"/>
      <c r="C15" s="316">
        <v>4170</v>
      </c>
      <c r="D15" s="317" t="s">
        <v>303</v>
      </c>
      <c r="E15" s="318">
        <f t="shared" si="2"/>
        <v>0</v>
      </c>
      <c r="F15" s="318">
        <f t="shared" si="3"/>
        <v>0</v>
      </c>
      <c r="G15" s="318">
        <f t="shared" si="4"/>
        <v>0</v>
      </c>
      <c r="H15" s="318">
        <v>0</v>
      </c>
      <c r="I15" s="318"/>
      <c r="J15" s="318"/>
      <c r="K15" s="318"/>
      <c r="L15" s="318"/>
      <c r="M15" s="318"/>
      <c r="N15" s="318"/>
      <c r="O15" s="318"/>
      <c r="P15" s="318"/>
      <c r="Q15" s="318"/>
      <c r="R15" s="318"/>
    </row>
    <row r="16" spans="1:18" ht="17.25" customHeight="1">
      <c r="A16" s="315"/>
      <c r="B16" s="315"/>
      <c r="C16" s="316">
        <v>4210</v>
      </c>
      <c r="D16" s="317" t="s">
        <v>276</v>
      </c>
      <c r="E16" s="318">
        <f t="shared" si="2"/>
        <v>24750</v>
      </c>
      <c r="F16" s="318">
        <f t="shared" si="3"/>
        <v>24750</v>
      </c>
      <c r="G16" s="318">
        <f t="shared" si="4"/>
        <v>24750</v>
      </c>
      <c r="H16" s="318"/>
      <c r="I16" s="318">
        <f>20000+4750</f>
        <v>24750</v>
      </c>
      <c r="J16" s="318"/>
      <c r="K16" s="318"/>
      <c r="L16" s="318"/>
      <c r="M16" s="318"/>
      <c r="N16" s="318"/>
      <c r="O16" s="318"/>
      <c r="P16" s="318"/>
      <c r="Q16" s="318"/>
      <c r="R16" s="318"/>
    </row>
    <row r="17" spans="1:18" ht="15.75" customHeight="1">
      <c r="A17" s="315"/>
      <c r="B17" s="315"/>
      <c r="C17" s="316">
        <v>4240</v>
      </c>
      <c r="D17" s="317" t="s">
        <v>277</v>
      </c>
      <c r="E17" s="318">
        <f t="shared" si="2"/>
        <v>10000</v>
      </c>
      <c r="F17" s="318">
        <f t="shared" si="3"/>
        <v>10000</v>
      </c>
      <c r="G17" s="318">
        <f t="shared" si="4"/>
        <v>10000</v>
      </c>
      <c r="H17" s="318"/>
      <c r="I17" s="318">
        <v>10000</v>
      </c>
      <c r="J17" s="318"/>
      <c r="K17" s="318"/>
      <c r="L17" s="318"/>
      <c r="M17" s="318"/>
      <c r="N17" s="318"/>
      <c r="O17" s="318"/>
      <c r="P17" s="318"/>
      <c r="Q17" s="318"/>
      <c r="R17" s="318"/>
    </row>
    <row r="18" spans="1:18" ht="17.25" customHeight="1">
      <c r="A18" s="315"/>
      <c r="B18" s="315"/>
      <c r="C18" s="316">
        <v>4260</v>
      </c>
      <c r="D18" s="317" t="s">
        <v>286</v>
      </c>
      <c r="E18" s="318">
        <f t="shared" si="2"/>
        <v>258000</v>
      </c>
      <c r="F18" s="318">
        <f t="shared" si="3"/>
        <v>258000</v>
      </c>
      <c r="G18" s="318">
        <f t="shared" si="4"/>
        <v>258000</v>
      </c>
      <c r="H18" s="318"/>
      <c r="I18" s="318">
        <v>258000</v>
      </c>
      <c r="J18" s="318"/>
      <c r="K18" s="318"/>
      <c r="L18" s="318"/>
      <c r="M18" s="318"/>
      <c r="N18" s="318"/>
      <c r="O18" s="318"/>
      <c r="P18" s="318"/>
      <c r="Q18" s="318"/>
      <c r="R18" s="318"/>
    </row>
    <row r="19" spans="1:18" ht="17.25" customHeight="1">
      <c r="A19" s="315"/>
      <c r="B19" s="315"/>
      <c r="C19" s="316">
        <v>4270</v>
      </c>
      <c r="D19" s="317" t="s">
        <v>231</v>
      </c>
      <c r="E19" s="318">
        <f t="shared" si="2"/>
        <v>20000</v>
      </c>
      <c r="F19" s="318">
        <f t="shared" si="3"/>
        <v>20000</v>
      </c>
      <c r="G19" s="318">
        <f t="shared" si="4"/>
        <v>20000</v>
      </c>
      <c r="H19" s="318"/>
      <c r="I19" s="318">
        <v>20000</v>
      </c>
      <c r="J19" s="318"/>
      <c r="K19" s="318"/>
      <c r="L19" s="318"/>
      <c r="M19" s="318"/>
      <c r="N19" s="318"/>
      <c r="O19" s="318"/>
      <c r="P19" s="318"/>
      <c r="Q19" s="318"/>
      <c r="R19" s="318"/>
    </row>
    <row r="20" spans="1:18" ht="17.25" customHeight="1">
      <c r="A20" s="315"/>
      <c r="B20" s="315"/>
      <c r="C20" s="316">
        <v>4280</v>
      </c>
      <c r="D20" s="317" t="s">
        <v>278</v>
      </c>
      <c r="E20" s="318">
        <f t="shared" si="2"/>
        <v>2000</v>
      </c>
      <c r="F20" s="318">
        <f t="shared" si="3"/>
        <v>2000</v>
      </c>
      <c r="G20" s="318">
        <f t="shared" si="4"/>
        <v>2000</v>
      </c>
      <c r="H20" s="318"/>
      <c r="I20" s="318">
        <v>2000</v>
      </c>
      <c r="J20" s="318"/>
      <c r="K20" s="318"/>
      <c r="L20" s="318"/>
      <c r="M20" s="318"/>
      <c r="N20" s="318"/>
      <c r="O20" s="318"/>
      <c r="P20" s="318"/>
      <c r="Q20" s="318"/>
      <c r="R20" s="318"/>
    </row>
    <row r="21" spans="1:18" ht="17.25" customHeight="1">
      <c r="A21" s="315"/>
      <c r="B21" s="315"/>
      <c r="C21" s="316">
        <v>4300</v>
      </c>
      <c r="D21" s="317" t="s">
        <v>287</v>
      </c>
      <c r="E21" s="318">
        <f t="shared" si="2"/>
        <v>19508</v>
      </c>
      <c r="F21" s="318">
        <f t="shared" si="3"/>
        <v>19508</v>
      </c>
      <c r="G21" s="318">
        <f t="shared" si="4"/>
        <v>19508</v>
      </c>
      <c r="H21" s="318"/>
      <c r="I21" s="318">
        <f>19000+508</f>
        <v>19508</v>
      </c>
      <c r="J21" s="318"/>
      <c r="K21" s="318"/>
      <c r="L21" s="318"/>
      <c r="M21" s="318"/>
      <c r="N21" s="318"/>
      <c r="O21" s="318"/>
      <c r="P21" s="318"/>
      <c r="Q21" s="318"/>
      <c r="R21" s="318"/>
    </row>
    <row r="22" spans="1:18" ht="17.25" customHeight="1">
      <c r="A22" s="315"/>
      <c r="B22" s="315"/>
      <c r="C22" s="316">
        <v>4350</v>
      </c>
      <c r="D22" s="317" t="s">
        <v>288</v>
      </c>
      <c r="E22" s="318">
        <f t="shared" si="2"/>
        <v>1400</v>
      </c>
      <c r="F22" s="318">
        <f t="shared" si="3"/>
        <v>1400</v>
      </c>
      <c r="G22" s="318">
        <f t="shared" si="4"/>
        <v>1400</v>
      </c>
      <c r="H22" s="318"/>
      <c r="I22" s="318">
        <v>1400</v>
      </c>
      <c r="J22" s="318"/>
      <c r="K22" s="318"/>
      <c r="L22" s="318"/>
      <c r="M22" s="318"/>
      <c r="N22" s="318"/>
      <c r="O22" s="318"/>
      <c r="P22" s="318"/>
      <c r="Q22" s="318"/>
      <c r="R22" s="318"/>
    </row>
    <row r="23" spans="1:18" ht="27" customHeight="1">
      <c r="A23" s="315"/>
      <c r="B23" s="315"/>
      <c r="C23" s="316">
        <v>4370</v>
      </c>
      <c r="D23" s="317" t="s">
        <v>409</v>
      </c>
      <c r="E23" s="318">
        <f t="shared" si="2"/>
        <v>3000</v>
      </c>
      <c r="F23" s="318">
        <f t="shared" si="3"/>
        <v>3000</v>
      </c>
      <c r="G23" s="318">
        <f t="shared" si="4"/>
        <v>3000</v>
      </c>
      <c r="H23" s="318"/>
      <c r="I23" s="318">
        <v>3000</v>
      </c>
      <c r="J23" s="318"/>
      <c r="K23" s="318"/>
      <c r="L23" s="318"/>
      <c r="M23" s="318"/>
      <c r="N23" s="318"/>
      <c r="O23" s="318"/>
      <c r="P23" s="318"/>
      <c r="Q23" s="318"/>
      <c r="R23" s="318"/>
    </row>
    <row r="24" spans="1:18" ht="17.25" customHeight="1">
      <c r="A24" s="315"/>
      <c r="B24" s="315"/>
      <c r="C24" s="316">
        <v>4410</v>
      </c>
      <c r="D24" s="317" t="s">
        <v>290</v>
      </c>
      <c r="E24" s="318">
        <f t="shared" si="2"/>
        <v>1500</v>
      </c>
      <c r="F24" s="318">
        <f t="shared" si="3"/>
        <v>1500</v>
      </c>
      <c r="G24" s="318">
        <f t="shared" si="4"/>
        <v>1500</v>
      </c>
      <c r="H24" s="318"/>
      <c r="I24" s="318">
        <v>1500</v>
      </c>
      <c r="J24" s="318"/>
      <c r="K24" s="318"/>
      <c r="L24" s="318"/>
      <c r="M24" s="318"/>
      <c r="N24" s="318"/>
      <c r="O24" s="318"/>
      <c r="P24" s="318"/>
      <c r="Q24" s="318"/>
      <c r="R24" s="318"/>
    </row>
    <row r="25" spans="1:18" ht="17.25" customHeight="1">
      <c r="A25" s="315"/>
      <c r="B25" s="315"/>
      <c r="C25" s="316">
        <v>4430</v>
      </c>
      <c r="D25" s="317" t="s">
        <v>291</v>
      </c>
      <c r="E25" s="318">
        <f t="shared" si="2"/>
        <v>2000</v>
      </c>
      <c r="F25" s="318">
        <f t="shared" si="3"/>
        <v>2000</v>
      </c>
      <c r="G25" s="318">
        <f t="shared" si="4"/>
        <v>2000</v>
      </c>
      <c r="H25" s="318"/>
      <c r="I25" s="318">
        <v>2000</v>
      </c>
      <c r="J25" s="318"/>
      <c r="K25" s="318"/>
      <c r="L25" s="318"/>
      <c r="M25" s="318"/>
      <c r="N25" s="318"/>
      <c r="O25" s="318"/>
      <c r="P25" s="318"/>
      <c r="Q25" s="318"/>
      <c r="R25" s="318"/>
    </row>
    <row r="26" spans="1:18" ht="17.25" customHeight="1">
      <c r="A26" s="315"/>
      <c r="B26" s="315"/>
      <c r="C26" s="316">
        <v>4440</v>
      </c>
      <c r="D26" s="317" t="s">
        <v>279</v>
      </c>
      <c r="E26" s="318">
        <f t="shared" si="2"/>
        <v>110177</v>
      </c>
      <c r="F26" s="318">
        <f t="shared" si="3"/>
        <v>110177</v>
      </c>
      <c r="G26" s="318">
        <f t="shared" si="4"/>
        <v>110177</v>
      </c>
      <c r="H26" s="318"/>
      <c r="I26" s="318">
        <v>110177</v>
      </c>
      <c r="J26" s="318"/>
      <c r="K26" s="318"/>
      <c r="L26" s="318"/>
      <c r="M26" s="318"/>
      <c r="N26" s="318"/>
      <c r="O26" s="318"/>
      <c r="P26" s="318"/>
      <c r="Q26" s="318"/>
      <c r="R26" s="318"/>
    </row>
    <row r="27" spans="1:18" ht="17.25" customHeight="1">
      <c r="A27" s="315"/>
      <c r="B27" s="315"/>
      <c r="C27" s="316">
        <v>4480</v>
      </c>
      <c r="D27" s="317" t="s">
        <v>272</v>
      </c>
      <c r="E27" s="318">
        <f t="shared" si="2"/>
        <v>250</v>
      </c>
      <c r="F27" s="318">
        <f t="shared" si="3"/>
        <v>250</v>
      </c>
      <c r="G27" s="318">
        <f t="shared" si="4"/>
        <v>250</v>
      </c>
      <c r="H27" s="318"/>
      <c r="I27" s="318">
        <v>250</v>
      </c>
      <c r="J27" s="318"/>
      <c r="K27" s="318"/>
      <c r="L27" s="318"/>
      <c r="M27" s="318"/>
      <c r="N27" s="318"/>
      <c r="O27" s="318"/>
      <c r="P27" s="318"/>
      <c r="Q27" s="318"/>
      <c r="R27" s="318"/>
    </row>
    <row r="28" spans="1:18" ht="27" customHeight="1">
      <c r="A28" s="315"/>
      <c r="B28" s="315"/>
      <c r="C28" s="316">
        <v>4700</v>
      </c>
      <c r="D28" s="317" t="s">
        <v>292</v>
      </c>
      <c r="E28" s="318">
        <f>F28+O28</f>
        <v>1000</v>
      </c>
      <c r="F28" s="318">
        <f t="shared" si="3"/>
        <v>1000</v>
      </c>
      <c r="G28" s="318">
        <f t="shared" si="4"/>
        <v>1000</v>
      </c>
      <c r="H28" s="318"/>
      <c r="I28" s="318">
        <v>1000</v>
      </c>
      <c r="J28" s="318"/>
      <c r="K28" s="318"/>
      <c r="L28" s="318"/>
      <c r="M28" s="318"/>
      <c r="N28" s="318"/>
      <c r="O28" s="318"/>
      <c r="P28" s="318"/>
      <c r="Q28" s="318"/>
      <c r="R28" s="318"/>
    </row>
    <row r="29" spans="1:18" ht="17.25" customHeight="1">
      <c r="A29" s="319"/>
      <c r="B29" s="319"/>
      <c r="C29" s="319">
        <v>6057</v>
      </c>
      <c r="D29" s="320" t="s">
        <v>375</v>
      </c>
      <c r="E29" s="318">
        <f>F29+O29</f>
        <v>800000</v>
      </c>
      <c r="F29" s="318">
        <f t="shared" si="3"/>
        <v>0</v>
      </c>
      <c r="G29" s="318">
        <f t="shared" si="4"/>
        <v>0</v>
      </c>
      <c r="H29" s="321">
        <v>0</v>
      </c>
      <c r="I29" s="321">
        <v>0</v>
      </c>
      <c r="J29" s="321">
        <v>0</v>
      </c>
      <c r="K29" s="321">
        <v>0</v>
      </c>
      <c r="L29" s="321"/>
      <c r="M29" s="321"/>
      <c r="N29" s="321"/>
      <c r="O29" s="321">
        <f>P29+R29</f>
        <v>800000</v>
      </c>
      <c r="P29" s="321">
        <f>Q29</f>
        <v>800000</v>
      </c>
      <c r="Q29" s="321">
        <f>'zał 11'!E35</f>
        <v>800000</v>
      </c>
      <c r="R29" s="321">
        <v>0</v>
      </c>
    </row>
    <row r="30" spans="1:18" ht="16.5" customHeight="1">
      <c r="A30" s="312"/>
      <c r="B30" s="312">
        <v>80103</v>
      </c>
      <c r="C30" s="319"/>
      <c r="D30" s="313" t="s">
        <v>274</v>
      </c>
      <c r="E30" s="314">
        <f aca="true" t="shared" si="5" ref="E30:R30">SUM(E31:E39)</f>
        <v>132735</v>
      </c>
      <c r="F30" s="314">
        <f t="shared" si="5"/>
        <v>132735</v>
      </c>
      <c r="G30" s="314">
        <f t="shared" si="5"/>
        <v>132301</v>
      </c>
      <c r="H30" s="314">
        <f t="shared" si="5"/>
        <v>123175</v>
      </c>
      <c r="I30" s="314">
        <f t="shared" si="5"/>
        <v>9126</v>
      </c>
      <c r="J30" s="314">
        <f t="shared" si="5"/>
        <v>0</v>
      </c>
      <c r="K30" s="314">
        <f t="shared" si="5"/>
        <v>434</v>
      </c>
      <c r="L30" s="314">
        <f t="shared" si="5"/>
        <v>0</v>
      </c>
      <c r="M30" s="314">
        <f t="shared" si="5"/>
        <v>0</v>
      </c>
      <c r="N30" s="314">
        <f t="shared" si="5"/>
        <v>0</v>
      </c>
      <c r="O30" s="314">
        <f t="shared" si="5"/>
        <v>0</v>
      </c>
      <c r="P30" s="314">
        <f t="shared" si="5"/>
        <v>0</v>
      </c>
      <c r="Q30" s="314">
        <f t="shared" si="5"/>
        <v>0</v>
      </c>
      <c r="R30" s="314">
        <f t="shared" si="5"/>
        <v>0</v>
      </c>
    </row>
    <row r="31" spans="1:18" ht="17.25" customHeight="1">
      <c r="A31" s="315"/>
      <c r="B31" s="315"/>
      <c r="C31" s="316">
        <v>3020</v>
      </c>
      <c r="D31" s="317" t="s">
        <v>407</v>
      </c>
      <c r="E31" s="318">
        <f>F31+P31</f>
        <v>434</v>
      </c>
      <c r="F31" s="318">
        <f aca="true" t="shared" si="6" ref="F31:F39">G31+J31+K31+L31+M31+N31</f>
        <v>434</v>
      </c>
      <c r="G31" s="318">
        <f aca="true" t="shared" si="7" ref="G31:G39">H31+I31</f>
        <v>0</v>
      </c>
      <c r="H31" s="318"/>
      <c r="I31" s="318"/>
      <c r="J31" s="318"/>
      <c r="K31" s="318">
        <v>434</v>
      </c>
      <c r="L31" s="318"/>
      <c r="M31" s="318"/>
      <c r="N31" s="318"/>
      <c r="O31" s="318"/>
      <c r="P31" s="318"/>
      <c r="Q31" s="318"/>
      <c r="R31" s="318"/>
    </row>
    <row r="32" spans="1:18" ht="17.25" customHeight="1">
      <c r="A32" s="315"/>
      <c r="B32" s="315"/>
      <c r="C32" s="316">
        <v>4010</v>
      </c>
      <c r="D32" s="317" t="s">
        <v>265</v>
      </c>
      <c r="E32" s="318">
        <f aca="true" t="shared" si="8" ref="E32:E39">F32+O32</f>
        <v>92828</v>
      </c>
      <c r="F32" s="318">
        <f t="shared" si="6"/>
        <v>92828</v>
      </c>
      <c r="G32" s="318">
        <f t="shared" si="7"/>
        <v>92828</v>
      </c>
      <c r="H32" s="318">
        <f>(50226+3434+170+1440)+(34776+2782)</f>
        <v>92828</v>
      </c>
      <c r="I32" s="318"/>
      <c r="J32" s="318"/>
      <c r="K32" s="318"/>
      <c r="L32" s="318"/>
      <c r="M32" s="318"/>
      <c r="N32" s="318"/>
      <c r="O32" s="318"/>
      <c r="P32" s="318"/>
      <c r="Q32" s="318"/>
      <c r="R32" s="318"/>
    </row>
    <row r="33" spans="1:18" ht="17.25" customHeight="1">
      <c r="A33" s="315"/>
      <c r="B33" s="315"/>
      <c r="C33" s="316">
        <v>4040</v>
      </c>
      <c r="D33" s="317" t="s">
        <v>283</v>
      </c>
      <c r="E33" s="318">
        <f t="shared" si="8"/>
        <v>9700</v>
      </c>
      <c r="F33" s="318">
        <f t="shared" si="6"/>
        <v>9700</v>
      </c>
      <c r="G33" s="318">
        <f t="shared" si="7"/>
        <v>9700</v>
      </c>
      <c r="H33" s="318">
        <v>9700</v>
      </c>
      <c r="I33" s="318"/>
      <c r="J33" s="318"/>
      <c r="K33" s="318"/>
      <c r="L33" s="318"/>
      <c r="M33" s="318"/>
      <c r="N33" s="318"/>
      <c r="O33" s="318"/>
      <c r="P33" s="318"/>
      <c r="Q33" s="318"/>
      <c r="R33" s="318"/>
    </row>
    <row r="34" spans="1:18" ht="17.25" customHeight="1">
      <c r="A34" s="315"/>
      <c r="B34" s="315"/>
      <c r="C34" s="316">
        <v>4110</v>
      </c>
      <c r="D34" s="317" t="s">
        <v>284</v>
      </c>
      <c r="E34" s="318">
        <f t="shared" si="8"/>
        <v>17779</v>
      </c>
      <c r="F34" s="318">
        <f t="shared" si="6"/>
        <v>17779</v>
      </c>
      <c r="G34" s="318">
        <f t="shared" si="7"/>
        <v>17779</v>
      </c>
      <c r="H34" s="318">
        <v>17779</v>
      </c>
      <c r="I34" s="318"/>
      <c r="J34" s="318"/>
      <c r="K34" s="318"/>
      <c r="L34" s="318"/>
      <c r="M34" s="318"/>
      <c r="N34" s="318"/>
      <c r="O34" s="318"/>
      <c r="P34" s="318"/>
      <c r="Q34" s="318"/>
      <c r="R34" s="318"/>
    </row>
    <row r="35" spans="1:18" ht="17.25" customHeight="1">
      <c r="A35" s="315"/>
      <c r="B35" s="315"/>
      <c r="C35" s="316">
        <v>4120</v>
      </c>
      <c r="D35" s="317" t="s">
        <v>285</v>
      </c>
      <c r="E35" s="318">
        <f t="shared" si="8"/>
        <v>2868</v>
      </c>
      <c r="F35" s="318">
        <f t="shared" si="6"/>
        <v>2868</v>
      </c>
      <c r="G35" s="318">
        <f t="shared" si="7"/>
        <v>2868</v>
      </c>
      <c r="H35" s="318">
        <v>2868</v>
      </c>
      <c r="I35" s="318"/>
      <c r="J35" s="318"/>
      <c r="K35" s="318"/>
      <c r="L35" s="318"/>
      <c r="M35" s="318"/>
      <c r="N35" s="318"/>
      <c r="O35" s="318"/>
      <c r="P35" s="318"/>
      <c r="Q35" s="318"/>
      <c r="R35" s="318"/>
    </row>
    <row r="36" spans="1:18" ht="17.25" customHeight="1">
      <c r="A36" s="315"/>
      <c r="B36" s="315"/>
      <c r="C36" s="316">
        <v>4210</v>
      </c>
      <c r="D36" s="317" t="s">
        <v>276</v>
      </c>
      <c r="E36" s="318">
        <f t="shared" si="8"/>
        <v>500</v>
      </c>
      <c r="F36" s="318">
        <f t="shared" si="6"/>
        <v>500</v>
      </c>
      <c r="G36" s="318">
        <f t="shared" si="7"/>
        <v>500</v>
      </c>
      <c r="H36" s="318"/>
      <c r="I36" s="318">
        <v>500</v>
      </c>
      <c r="J36" s="318"/>
      <c r="K36" s="318"/>
      <c r="L36" s="318"/>
      <c r="M36" s="318"/>
      <c r="N36" s="318"/>
      <c r="O36" s="318"/>
      <c r="P36" s="318"/>
      <c r="Q36" s="318"/>
      <c r="R36" s="318"/>
    </row>
    <row r="37" spans="1:18" ht="15.75" customHeight="1">
      <c r="A37" s="315"/>
      <c r="B37" s="315"/>
      <c r="C37" s="316">
        <v>4240</v>
      </c>
      <c r="D37" s="317" t="s">
        <v>277</v>
      </c>
      <c r="E37" s="318">
        <f t="shared" si="8"/>
        <v>1000</v>
      </c>
      <c r="F37" s="318">
        <f t="shared" si="6"/>
        <v>1000</v>
      </c>
      <c r="G37" s="318">
        <f t="shared" si="7"/>
        <v>1000</v>
      </c>
      <c r="H37" s="318"/>
      <c r="I37" s="318">
        <v>1000</v>
      </c>
      <c r="J37" s="318"/>
      <c r="K37" s="318"/>
      <c r="L37" s="318"/>
      <c r="M37" s="318"/>
      <c r="N37" s="318"/>
      <c r="O37" s="318"/>
      <c r="P37" s="318"/>
      <c r="Q37" s="318"/>
      <c r="R37" s="318"/>
    </row>
    <row r="38" spans="1:18" ht="17.25" customHeight="1">
      <c r="A38" s="315"/>
      <c r="B38" s="315"/>
      <c r="C38" s="316">
        <v>4280</v>
      </c>
      <c r="D38" s="317" t="s">
        <v>278</v>
      </c>
      <c r="E38" s="318">
        <f t="shared" si="8"/>
        <v>200</v>
      </c>
      <c r="F38" s="318">
        <f t="shared" si="6"/>
        <v>200</v>
      </c>
      <c r="G38" s="318">
        <f t="shared" si="7"/>
        <v>200</v>
      </c>
      <c r="H38" s="318"/>
      <c r="I38" s="318">
        <v>200</v>
      </c>
      <c r="J38" s="318"/>
      <c r="K38" s="318"/>
      <c r="L38" s="318"/>
      <c r="M38" s="318"/>
      <c r="N38" s="318"/>
      <c r="O38" s="318"/>
      <c r="P38" s="318"/>
      <c r="Q38" s="318"/>
      <c r="R38" s="318"/>
    </row>
    <row r="39" spans="1:18" ht="17.25" customHeight="1">
      <c r="A39" s="315"/>
      <c r="B39" s="315"/>
      <c r="C39" s="316">
        <v>4440</v>
      </c>
      <c r="D39" s="317" t="s">
        <v>279</v>
      </c>
      <c r="E39" s="318">
        <f t="shared" si="8"/>
        <v>7426</v>
      </c>
      <c r="F39" s="318">
        <f t="shared" si="6"/>
        <v>7426</v>
      </c>
      <c r="G39" s="318">
        <f t="shared" si="7"/>
        <v>7426</v>
      </c>
      <c r="H39" s="318"/>
      <c r="I39" s="318">
        <v>7426</v>
      </c>
      <c r="J39" s="318"/>
      <c r="K39" s="318"/>
      <c r="L39" s="318"/>
      <c r="M39" s="318"/>
      <c r="N39" s="318"/>
      <c r="O39" s="318"/>
      <c r="P39" s="318"/>
      <c r="Q39" s="318"/>
      <c r="R39" s="318"/>
    </row>
    <row r="40" spans="1:18" ht="16.5" customHeight="1">
      <c r="A40" s="313"/>
      <c r="B40" s="312">
        <v>80146</v>
      </c>
      <c r="C40" s="319"/>
      <c r="D40" s="313" t="s">
        <v>299</v>
      </c>
      <c r="E40" s="314">
        <f aca="true" t="shared" si="9" ref="E40:R40">SUM(E41:E45)</f>
        <v>7200</v>
      </c>
      <c r="F40" s="314">
        <f t="shared" si="9"/>
        <v>7200</v>
      </c>
      <c r="G40" s="314">
        <f t="shared" si="9"/>
        <v>7200</v>
      </c>
      <c r="H40" s="314">
        <f t="shared" si="9"/>
        <v>0</v>
      </c>
      <c r="I40" s="314">
        <f t="shared" si="9"/>
        <v>7200</v>
      </c>
      <c r="J40" s="314">
        <f t="shared" si="9"/>
        <v>0</v>
      </c>
      <c r="K40" s="314">
        <f t="shared" si="9"/>
        <v>0</v>
      </c>
      <c r="L40" s="314">
        <f t="shared" si="9"/>
        <v>0</v>
      </c>
      <c r="M40" s="314">
        <f t="shared" si="9"/>
        <v>0</v>
      </c>
      <c r="N40" s="314">
        <f t="shared" si="9"/>
        <v>0</v>
      </c>
      <c r="O40" s="314">
        <f t="shared" si="9"/>
        <v>0</v>
      </c>
      <c r="P40" s="314">
        <f t="shared" si="9"/>
        <v>0</v>
      </c>
      <c r="Q40" s="314">
        <f t="shared" si="9"/>
        <v>0</v>
      </c>
      <c r="R40" s="314">
        <f t="shared" si="9"/>
        <v>0</v>
      </c>
    </row>
    <row r="41" spans="1:18" ht="17.25" customHeight="1">
      <c r="A41" s="313"/>
      <c r="B41" s="312"/>
      <c r="C41" s="316">
        <v>4210</v>
      </c>
      <c r="D41" s="317" t="s">
        <v>276</v>
      </c>
      <c r="E41" s="318">
        <f>F41+O41</f>
        <v>0</v>
      </c>
      <c r="F41" s="318">
        <f>G41+J41+K41+L41+M41+N41</f>
        <v>0</v>
      </c>
      <c r="G41" s="318">
        <f>H41+I41</f>
        <v>0</v>
      </c>
      <c r="H41" s="314"/>
      <c r="I41" s="318"/>
      <c r="J41" s="314"/>
      <c r="K41" s="314"/>
      <c r="L41" s="314"/>
      <c r="M41" s="314"/>
      <c r="N41" s="314"/>
      <c r="O41" s="314"/>
      <c r="P41" s="314"/>
      <c r="Q41" s="314"/>
      <c r="R41" s="314"/>
    </row>
    <row r="42" spans="1:18" ht="15.75" customHeight="1">
      <c r="A42" s="315"/>
      <c r="B42" s="315"/>
      <c r="C42" s="316">
        <v>4240</v>
      </c>
      <c r="D42" s="317" t="s">
        <v>277</v>
      </c>
      <c r="E42" s="318">
        <f>F42+O42</f>
        <v>200</v>
      </c>
      <c r="F42" s="318">
        <f>G42+J42+K42+L42+M42+N42</f>
        <v>200</v>
      </c>
      <c r="G42" s="318">
        <f>H42+I42</f>
        <v>200</v>
      </c>
      <c r="H42" s="318"/>
      <c r="I42" s="318">
        <v>200</v>
      </c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7.25" customHeight="1">
      <c r="A43" s="315"/>
      <c r="B43" s="315"/>
      <c r="C43" s="316">
        <v>4300</v>
      </c>
      <c r="D43" s="317" t="s">
        <v>287</v>
      </c>
      <c r="E43" s="318">
        <f>F43+O43</f>
        <v>2000</v>
      </c>
      <c r="F43" s="318">
        <f>G43+J43+K43+L43+M43+N43</f>
        <v>2000</v>
      </c>
      <c r="G43" s="318">
        <f>H43+I43</f>
        <v>2000</v>
      </c>
      <c r="H43" s="318"/>
      <c r="I43" s="318">
        <v>2000</v>
      </c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7.25" customHeight="1">
      <c r="A44" s="315"/>
      <c r="B44" s="315"/>
      <c r="C44" s="316">
        <v>4410</v>
      </c>
      <c r="D44" s="317" t="s">
        <v>290</v>
      </c>
      <c r="E44" s="318">
        <f>F44+O44</f>
        <v>3000</v>
      </c>
      <c r="F44" s="318">
        <f>G44+J44+K44+L44+M44+N44</f>
        <v>3000</v>
      </c>
      <c r="G44" s="318">
        <f>H44+I44</f>
        <v>3000</v>
      </c>
      <c r="H44" s="318"/>
      <c r="I44" s="318">
        <v>3000</v>
      </c>
      <c r="J44" s="318"/>
      <c r="K44" s="318"/>
      <c r="L44" s="318"/>
      <c r="M44" s="318"/>
      <c r="N44" s="318"/>
      <c r="O44" s="318"/>
      <c r="P44" s="318"/>
      <c r="Q44" s="318"/>
      <c r="R44" s="318"/>
    </row>
    <row r="45" spans="1:18" ht="27" customHeight="1">
      <c r="A45" s="315"/>
      <c r="B45" s="315"/>
      <c r="C45" s="316">
        <v>4700</v>
      </c>
      <c r="D45" s="317" t="s">
        <v>292</v>
      </c>
      <c r="E45" s="318">
        <f>F45+O45</f>
        <v>2000</v>
      </c>
      <c r="F45" s="318">
        <f>G45+J45+K45+L45+M45+N45</f>
        <v>2000</v>
      </c>
      <c r="G45" s="318">
        <f>H45+I45</f>
        <v>2000</v>
      </c>
      <c r="H45" s="318"/>
      <c r="I45" s="318">
        <v>2000</v>
      </c>
      <c r="J45" s="318"/>
      <c r="K45" s="318"/>
      <c r="L45" s="318"/>
      <c r="M45" s="318"/>
      <c r="N45" s="318"/>
      <c r="O45" s="318"/>
      <c r="P45" s="318"/>
      <c r="Q45" s="318"/>
      <c r="R45" s="318"/>
    </row>
    <row r="46" spans="1:18" ht="16.5" customHeight="1">
      <c r="A46" s="313"/>
      <c r="B46" s="322">
        <v>80148</v>
      </c>
      <c r="C46" s="323"/>
      <c r="D46" s="324" t="s">
        <v>410</v>
      </c>
      <c r="E46" s="325">
        <f aca="true" t="shared" si="10" ref="E46:R46">SUM(E47:E59)</f>
        <v>279102</v>
      </c>
      <c r="F46" s="325">
        <f t="shared" si="10"/>
        <v>279102</v>
      </c>
      <c r="G46" s="325">
        <f t="shared" si="10"/>
        <v>277602</v>
      </c>
      <c r="H46" s="325">
        <f t="shared" si="10"/>
        <v>133169</v>
      </c>
      <c r="I46" s="325">
        <f t="shared" si="10"/>
        <v>144433</v>
      </c>
      <c r="J46" s="325">
        <f t="shared" si="10"/>
        <v>0</v>
      </c>
      <c r="K46" s="325">
        <f t="shared" si="10"/>
        <v>1500</v>
      </c>
      <c r="L46" s="325">
        <f t="shared" si="10"/>
        <v>0</v>
      </c>
      <c r="M46" s="325">
        <f t="shared" si="10"/>
        <v>0</v>
      </c>
      <c r="N46" s="325">
        <f t="shared" si="10"/>
        <v>0</v>
      </c>
      <c r="O46" s="325">
        <f t="shared" si="10"/>
        <v>0</v>
      </c>
      <c r="P46" s="325">
        <f t="shared" si="10"/>
        <v>0</v>
      </c>
      <c r="Q46" s="325">
        <f t="shared" si="10"/>
        <v>0</v>
      </c>
      <c r="R46" s="325">
        <f t="shared" si="10"/>
        <v>0</v>
      </c>
    </row>
    <row r="47" spans="1:18" ht="17.25" customHeight="1">
      <c r="A47" s="315"/>
      <c r="B47" s="315"/>
      <c r="C47" s="316">
        <v>3020</v>
      </c>
      <c r="D47" s="317" t="s">
        <v>407</v>
      </c>
      <c r="E47" s="318">
        <f aca="true" t="shared" si="11" ref="E47:E59">F47+O47</f>
        <v>1500</v>
      </c>
      <c r="F47" s="318">
        <f aca="true" t="shared" si="12" ref="F47:F59">G47+J47+K47+L47+M47+N47</f>
        <v>1500</v>
      </c>
      <c r="G47" s="318"/>
      <c r="H47" s="318"/>
      <c r="I47" s="318"/>
      <c r="J47" s="318"/>
      <c r="K47" s="318">
        <v>1500</v>
      </c>
      <c r="L47" s="318"/>
      <c r="M47" s="318"/>
      <c r="N47" s="318"/>
      <c r="O47" s="318"/>
      <c r="P47" s="318"/>
      <c r="Q47" s="318"/>
      <c r="R47" s="318"/>
    </row>
    <row r="48" spans="1:18" ht="17.25" customHeight="1">
      <c r="A48" s="315"/>
      <c r="B48" s="315"/>
      <c r="C48" s="316">
        <v>4010</v>
      </c>
      <c r="D48" s="317" t="s">
        <v>265</v>
      </c>
      <c r="E48" s="318">
        <f t="shared" si="11"/>
        <v>102293</v>
      </c>
      <c r="F48" s="318">
        <f t="shared" si="12"/>
        <v>102293</v>
      </c>
      <c r="G48" s="318">
        <f aca="true" t="shared" si="13" ref="G48:G59">H48+I48</f>
        <v>102293</v>
      </c>
      <c r="H48" s="318">
        <f>80109+14867+7317</f>
        <v>102293</v>
      </c>
      <c r="I48" s="318"/>
      <c r="J48" s="318"/>
      <c r="K48" s="318"/>
      <c r="L48" s="318"/>
      <c r="M48" s="318"/>
      <c r="N48" s="318"/>
      <c r="O48" s="318"/>
      <c r="P48" s="318"/>
      <c r="Q48" s="318"/>
      <c r="R48" s="318"/>
    </row>
    <row r="49" spans="1:18" ht="17.25" customHeight="1">
      <c r="A49" s="315"/>
      <c r="B49" s="315"/>
      <c r="C49" s="316">
        <v>4040</v>
      </c>
      <c r="D49" s="317" t="s">
        <v>283</v>
      </c>
      <c r="E49" s="318">
        <f t="shared" si="11"/>
        <v>9435</v>
      </c>
      <c r="F49" s="318">
        <f t="shared" si="12"/>
        <v>9435</v>
      </c>
      <c r="G49" s="318">
        <f t="shared" si="13"/>
        <v>9435</v>
      </c>
      <c r="H49" s="318">
        <v>9435</v>
      </c>
      <c r="I49" s="318"/>
      <c r="J49" s="318"/>
      <c r="K49" s="318"/>
      <c r="L49" s="318"/>
      <c r="M49" s="318"/>
      <c r="N49" s="318"/>
      <c r="O49" s="318"/>
      <c r="P49" s="318"/>
      <c r="Q49" s="318"/>
      <c r="R49" s="318"/>
    </row>
    <row r="50" spans="1:18" ht="17.25" customHeight="1">
      <c r="A50" s="315"/>
      <c r="B50" s="315"/>
      <c r="C50" s="316">
        <v>4110</v>
      </c>
      <c r="D50" s="317" t="s">
        <v>284</v>
      </c>
      <c r="E50" s="318">
        <f t="shared" si="11"/>
        <v>18462</v>
      </c>
      <c r="F50" s="318">
        <f t="shared" si="12"/>
        <v>18462</v>
      </c>
      <c r="G50" s="318">
        <f t="shared" si="13"/>
        <v>18462</v>
      </c>
      <c r="H50" s="318">
        <v>18462</v>
      </c>
      <c r="I50" s="318"/>
      <c r="J50" s="318"/>
      <c r="K50" s="318"/>
      <c r="L50" s="318"/>
      <c r="M50" s="318"/>
      <c r="N50" s="318"/>
      <c r="O50" s="318"/>
      <c r="P50" s="318"/>
      <c r="Q50" s="318"/>
      <c r="R50" s="318"/>
    </row>
    <row r="51" spans="1:18" ht="17.25" customHeight="1">
      <c r="A51" s="315"/>
      <c r="B51" s="315"/>
      <c r="C51" s="316">
        <v>4120</v>
      </c>
      <c r="D51" s="317" t="s">
        <v>285</v>
      </c>
      <c r="E51" s="318">
        <f t="shared" si="11"/>
        <v>2979</v>
      </c>
      <c r="F51" s="318">
        <f t="shared" si="12"/>
        <v>2979</v>
      </c>
      <c r="G51" s="318">
        <f t="shared" si="13"/>
        <v>2979</v>
      </c>
      <c r="H51" s="318">
        <v>2979</v>
      </c>
      <c r="I51" s="318"/>
      <c r="J51" s="318"/>
      <c r="K51" s="318"/>
      <c r="L51" s="318"/>
      <c r="M51" s="318"/>
      <c r="N51" s="318"/>
      <c r="O51" s="318"/>
      <c r="P51" s="318"/>
      <c r="Q51" s="318"/>
      <c r="R51" s="318"/>
    </row>
    <row r="52" spans="1:18" ht="17.25" customHeight="1">
      <c r="A52" s="315"/>
      <c r="B52" s="315"/>
      <c r="C52" s="316">
        <v>4210</v>
      </c>
      <c r="D52" s="317" t="s">
        <v>276</v>
      </c>
      <c r="E52" s="318">
        <f t="shared" si="11"/>
        <v>8500</v>
      </c>
      <c r="F52" s="318">
        <f t="shared" si="12"/>
        <v>8500</v>
      </c>
      <c r="G52" s="318">
        <f t="shared" si="13"/>
        <v>8500</v>
      </c>
      <c r="H52" s="318"/>
      <c r="I52" s="318">
        <v>8500</v>
      </c>
      <c r="J52" s="318"/>
      <c r="K52" s="318"/>
      <c r="L52" s="318"/>
      <c r="M52" s="318"/>
      <c r="N52" s="318"/>
      <c r="O52" s="318"/>
      <c r="P52" s="318"/>
      <c r="Q52" s="318"/>
      <c r="R52" s="318"/>
    </row>
    <row r="53" spans="1:18" ht="17.25" customHeight="1">
      <c r="A53" s="315"/>
      <c r="B53" s="315"/>
      <c r="C53" s="316">
        <v>4220</v>
      </c>
      <c r="D53" s="317" t="s">
        <v>411</v>
      </c>
      <c r="E53" s="318">
        <f t="shared" si="11"/>
        <v>129500</v>
      </c>
      <c r="F53" s="318">
        <f t="shared" si="12"/>
        <v>129500</v>
      </c>
      <c r="G53" s="318">
        <f t="shared" si="13"/>
        <v>129500</v>
      </c>
      <c r="H53" s="318"/>
      <c r="I53" s="318">
        <v>129500</v>
      </c>
      <c r="J53" s="318"/>
      <c r="K53" s="318"/>
      <c r="L53" s="318"/>
      <c r="M53" s="318"/>
      <c r="N53" s="318"/>
      <c r="O53" s="318"/>
      <c r="P53" s="318"/>
      <c r="Q53" s="318"/>
      <c r="R53" s="318"/>
    </row>
    <row r="54" spans="1:18" ht="17.25" customHeight="1">
      <c r="A54" s="315"/>
      <c r="B54" s="315"/>
      <c r="C54" s="316">
        <v>4270</v>
      </c>
      <c r="D54" s="317" t="s">
        <v>231</v>
      </c>
      <c r="E54" s="318">
        <f t="shared" si="11"/>
        <v>1000</v>
      </c>
      <c r="F54" s="318">
        <f t="shared" si="12"/>
        <v>1000</v>
      </c>
      <c r="G54" s="318">
        <f t="shared" si="13"/>
        <v>1000</v>
      </c>
      <c r="H54" s="318"/>
      <c r="I54" s="318">
        <v>1000</v>
      </c>
      <c r="J54" s="318"/>
      <c r="K54" s="318"/>
      <c r="L54" s="318"/>
      <c r="M54" s="318"/>
      <c r="N54" s="318"/>
      <c r="O54" s="318"/>
      <c r="P54" s="318"/>
      <c r="Q54" s="318"/>
      <c r="R54" s="318"/>
    </row>
    <row r="55" spans="1:18" ht="17.25" customHeight="1">
      <c r="A55" s="315"/>
      <c r="B55" s="315"/>
      <c r="C55" s="316">
        <v>4280</v>
      </c>
      <c r="D55" s="317" t="s">
        <v>278</v>
      </c>
      <c r="E55" s="318">
        <f t="shared" si="11"/>
        <v>200</v>
      </c>
      <c r="F55" s="318">
        <f t="shared" si="12"/>
        <v>200</v>
      </c>
      <c r="G55" s="318">
        <f t="shared" si="13"/>
        <v>200</v>
      </c>
      <c r="H55" s="318"/>
      <c r="I55" s="318">
        <v>200</v>
      </c>
      <c r="J55" s="318"/>
      <c r="K55" s="318"/>
      <c r="L55" s="318"/>
      <c r="M55" s="318"/>
      <c r="N55" s="318"/>
      <c r="O55" s="318"/>
      <c r="P55" s="318"/>
      <c r="Q55" s="318"/>
      <c r="R55" s="318"/>
    </row>
    <row r="56" spans="1:18" ht="17.25" customHeight="1">
      <c r="A56" s="315"/>
      <c r="B56" s="315"/>
      <c r="C56" s="316">
        <v>4300</v>
      </c>
      <c r="D56" s="317" t="s">
        <v>287</v>
      </c>
      <c r="E56" s="318">
        <f t="shared" si="11"/>
        <v>300</v>
      </c>
      <c r="F56" s="318">
        <f t="shared" si="12"/>
        <v>300</v>
      </c>
      <c r="G56" s="318">
        <f t="shared" si="13"/>
        <v>300</v>
      </c>
      <c r="H56" s="318"/>
      <c r="I56" s="318">
        <v>300</v>
      </c>
      <c r="J56" s="318"/>
      <c r="K56" s="318"/>
      <c r="L56" s="318"/>
      <c r="M56" s="318"/>
      <c r="N56" s="318"/>
      <c r="O56" s="318"/>
      <c r="P56" s="318"/>
      <c r="Q56" s="318"/>
      <c r="R56" s="318"/>
    </row>
    <row r="57" spans="1:18" ht="17.25" customHeight="1">
      <c r="A57" s="315"/>
      <c r="B57" s="315"/>
      <c r="C57" s="316">
        <v>4410</v>
      </c>
      <c r="D57" s="317" t="s">
        <v>290</v>
      </c>
      <c r="E57" s="318">
        <f t="shared" si="11"/>
        <v>200</v>
      </c>
      <c r="F57" s="318">
        <f t="shared" si="12"/>
        <v>200</v>
      </c>
      <c r="G57" s="318">
        <f t="shared" si="13"/>
        <v>200</v>
      </c>
      <c r="H57" s="318"/>
      <c r="I57" s="318">
        <v>200</v>
      </c>
      <c r="J57" s="318"/>
      <c r="K57" s="318"/>
      <c r="L57" s="318"/>
      <c r="M57" s="318"/>
      <c r="N57" s="318"/>
      <c r="O57" s="318"/>
      <c r="P57" s="318"/>
      <c r="Q57" s="318"/>
      <c r="R57" s="318"/>
    </row>
    <row r="58" spans="1:18" ht="17.25" customHeight="1">
      <c r="A58" s="315"/>
      <c r="B58" s="315"/>
      <c r="C58" s="316">
        <v>4440</v>
      </c>
      <c r="D58" s="317" t="s">
        <v>279</v>
      </c>
      <c r="E58" s="318">
        <f t="shared" si="11"/>
        <v>4233</v>
      </c>
      <c r="F58" s="318">
        <f t="shared" si="12"/>
        <v>4233</v>
      </c>
      <c r="G58" s="318">
        <f t="shared" si="13"/>
        <v>4233</v>
      </c>
      <c r="H58" s="318"/>
      <c r="I58" s="318">
        <v>4233</v>
      </c>
      <c r="J58" s="318"/>
      <c r="K58" s="318"/>
      <c r="L58" s="318"/>
      <c r="M58" s="318"/>
      <c r="N58" s="318"/>
      <c r="O58" s="318"/>
      <c r="P58" s="318"/>
      <c r="Q58" s="318"/>
      <c r="R58" s="318"/>
    </row>
    <row r="59" spans="1:18" ht="27" customHeight="1">
      <c r="A59" s="315"/>
      <c r="B59" s="315"/>
      <c r="C59" s="316">
        <v>4700</v>
      </c>
      <c r="D59" s="317" t="s">
        <v>292</v>
      </c>
      <c r="E59" s="318">
        <f t="shared" si="11"/>
        <v>500</v>
      </c>
      <c r="F59" s="318">
        <f t="shared" si="12"/>
        <v>500</v>
      </c>
      <c r="G59" s="318">
        <f t="shared" si="13"/>
        <v>500</v>
      </c>
      <c r="H59" s="318"/>
      <c r="I59" s="318">
        <v>500</v>
      </c>
      <c r="J59" s="318"/>
      <c r="K59" s="318"/>
      <c r="L59" s="318"/>
      <c r="M59" s="318"/>
      <c r="N59" s="318"/>
      <c r="O59" s="318"/>
      <c r="P59" s="318"/>
      <c r="Q59" s="318"/>
      <c r="R59" s="318"/>
    </row>
    <row r="60" spans="1:18" ht="16.5" customHeight="1">
      <c r="A60" s="312"/>
      <c r="B60" s="312">
        <v>80195</v>
      </c>
      <c r="C60" s="319"/>
      <c r="D60" s="313" t="s">
        <v>30</v>
      </c>
      <c r="E60" s="314">
        <f aca="true" t="shared" si="14" ref="E60:R60">SUM(E61:E61)</f>
        <v>43432</v>
      </c>
      <c r="F60" s="314">
        <f t="shared" si="14"/>
        <v>43432</v>
      </c>
      <c r="G60" s="314">
        <f t="shared" si="14"/>
        <v>43432</v>
      </c>
      <c r="H60" s="314">
        <f t="shared" si="14"/>
        <v>0</v>
      </c>
      <c r="I60" s="314">
        <f t="shared" si="14"/>
        <v>43432</v>
      </c>
      <c r="J60" s="314">
        <f t="shared" si="14"/>
        <v>0</v>
      </c>
      <c r="K60" s="314">
        <f t="shared" si="14"/>
        <v>0</v>
      </c>
      <c r="L60" s="314">
        <f t="shared" si="14"/>
        <v>0</v>
      </c>
      <c r="M60" s="314">
        <f t="shared" si="14"/>
        <v>0</v>
      </c>
      <c r="N60" s="314">
        <f t="shared" si="14"/>
        <v>0</v>
      </c>
      <c r="O60" s="314">
        <f t="shared" si="14"/>
        <v>0</v>
      </c>
      <c r="P60" s="314">
        <f t="shared" si="14"/>
        <v>0</v>
      </c>
      <c r="Q60" s="314">
        <f t="shared" si="14"/>
        <v>0</v>
      </c>
      <c r="R60" s="314">
        <f t="shared" si="14"/>
        <v>0</v>
      </c>
    </row>
    <row r="61" spans="1:18" ht="17.25" customHeight="1">
      <c r="A61" s="315"/>
      <c r="B61" s="315"/>
      <c r="C61" s="316">
        <v>4440</v>
      </c>
      <c r="D61" s="317" t="s">
        <v>279</v>
      </c>
      <c r="E61" s="318">
        <f>F61+O61</f>
        <v>43432</v>
      </c>
      <c r="F61" s="318">
        <f>G61+J61+K61+L61+M61+N61</f>
        <v>43432</v>
      </c>
      <c r="G61" s="318">
        <f>H61+I61</f>
        <v>43432</v>
      </c>
      <c r="H61" s="318"/>
      <c r="I61" s="318">
        <v>43432</v>
      </c>
      <c r="J61" s="318"/>
      <c r="K61" s="318"/>
      <c r="L61" s="318"/>
      <c r="M61" s="318"/>
      <c r="N61" s="318"/>
      <c r="O61" s="318"/>
      <c r="P61" s="318"/>
      <c r="Q61" s="318"/>
      <c r="R61" s="318"/>
    </row>
    <row r="62" spans="5:18" ht="18" customHeight="1">
      <c r="E62" s="326"/>
      <c r="F62" s="326"/>
      <c r="G62" s="327"/>
      <c r="H62" s="328"/>
      <c r="I62" s="328"/>
      <c r="J62" s="329"/>
      <c r="K62" s="329"/>
      <c r="L62" s="329"/>
      <c r="M62" s="329"/>
      <c r="R62" s="328"/>
    </row>
    <row r="63" spans="5:18" ht="18" customHeight="1">
      <c r="E63" s="328"/>
      <c r="F63" s="328"/>
      <c r="G63" s="327"/>
      <c r="H63" s="328"/>
      <c r="I63" s="328"/>
      <c r="J63" s="329"/>
      <c r="K63" s="329"/>
      <c r="L63" s="329"/>
      <c r="M63" s="329"/>
      <c r="R63" s="328"/>
    </row>
    <row r="64" spans="5:18" ht="18" customHeight="1">
      <c r="E64" s="328"/>
      <c r="F64" s="328"/>
      <c r="G64" s="327"/>
      <c r="H64" s="328"/>
      <c r="I64" s="328"/>
      <c r="J64" s="329"/>
      <c r="K64" s="329"/>
      <c r="L64" s="329"/>
      <c r="M64" s="329"/>
      <c r="O64" s="329"/>
      <c r="P64" s="329"/>
      <c r="Q64" s="329"/>
      <c r="R64" s="328"/>
    </row>
    <row r="65" spans="5:18" ht="18" customHeight="1">
      <c r="E65" s="328"/>
      <c r="F65" s="328"/>
      <c r="G65" s="327"/>
      <c r="H65" s="328"/>
      <c r="I65" s="328"/>
      <c r="J65" s="329"/>
      <c r="K65" s="329"/>
      <c r="L65" s="329"/>
      <c r="M65" s="329"/>
      <c r="R65" s="328"/>
    </row>
    <row r="66" spans="5:18" ht="18" customHeight="1">
      <c r="E66" s="328"/>
      <c r="F66" s="328"/>
      <c r="G66" s="327"/>
      <c r="H66" s="328"/>
      <c r="I66" s="328"/>
      <c r="J66" s="329"/>
      <c r="K66" s="329"/>
      <c r="L66" s="329"/>
      <c r="M66" s="329"/>
      <c r="R66" s="328"/>
    </row>
    <row r="67" spans="5:18" ht="18" customHeight="1">
      <c r="E67" s="328"/>
      <c r="F67" s="328"/>
      <c r="G67" s="327"/>
      <c r="H67" s="328"/>
      <c r="I67" s="328"/>
      <c r="J67" s="329"/>
      <c r="K67" s="329"/>
      <c r="L67" s="329"/>
      <c r="M67" s="329"/>
      <c r="R67" s="328"/>
    </row>
    <row r="68" spans="5:18" ht="18" customHeight="1">
      <c r="E68" s="328"/>
      <c r="F68" s="328"/>
      <c r="G68" s="327"/>
      <c r="H68" s="328"/>
      <c r="I68" s="328"/>
      <c r="J68" s="329"/>
      <c r="K68" s="329"/>
      <c r="L68" s="329"/>
      <c r="M68" s="329"/>
      <c r="R68" s="328"/>
    </row>
    <row r="69" spans="5:18" ht="18" customHeight="1">
      <c r="E69" s="328"/>
      <c r="F69" s="328"/>
      <c r="G69" s="327"/>
      <c r="H69" s="328"/>
      <c r="I69" s="328"/>
      <c r="J69" s="329"/>
      <c r="K69" s="329"/>
      <c r="L69" s="329"/>
      <c r="M69" s="329"/>
      <c r="R69" s="328"/>
    </row>
    <row r="70" spans="5:18" ht="18" customHeight="1">
      <c r="E70" s="328"/>
      <c r="F70" s="328"/>
      <c r="G70" s="327"/>
      <c r="H70" s="328"/>
      <c r="I70" s="328"/>
      <c r="J70" s="329"/>
      <c r="K70" s="329"/>
      <c r="L70" s="329"/>
      <c r="M70" s="329"/>
      <c r="R70" s="328"/>
    </row>
    <row r="71" spans="5:18" ht="18" customHeight="1">
      <c r="E71" s="328"/>
      <c r="F71" s="328"/>
      <c r="G71" s="327"/>
      <c r="H71" s="328"/>
      <c r="I71" s="328"/>
      <c r="J71" s="329"/>
      <c r="K71" s="329"/>
      <c r="L71" s="329"/>
      <c r="M71" s="329"/>
      <c r="R71" s="328"/>
    </row>
    <row r="72" spans="5:18" ht="18" customHeight="1">
      <c r="E72" s="328"/>
      <c r="F72" s="328"/>
      <c r="G72" s="327"/>
      <c r="H72" s="328"/>
      <c r="I72" s="328"/>
      <c r="J72" s="329"/>
      <c r="K72" s="329"/>
      <c r="L72" s="329"/>
      <c r="M72" s="329"/>
      <c r="R72" s="328"/>
    </row>
    <row r="73" spans="5:18" ht="18" customHeight="1">
      <c r="E73" s="328"/>
      <c r="F73" s="328"/>
      <c r="G73" s="327"/>
      <c r="H73" s="328"/>
      <c r="I73" s="328"/>
      <c r="J73" s="329"/>
      <c r="K73" s="329"/>
      <c r="L73" s="329"/>
      <c r="M73" s="329"/>
      <c r="R73" s="328"/>
    </row>
    <row r="74" spans="5:18" ht="18" customHeight="1">
      <c r="E74" s="328"/>
      <c r="F74" s="328"/>
      <c r="G74" s="327"/>
      <c r="H74" s="328"/>
      <c r="I74" s="328"/>
      <c r="J74" s="329"/>
      <c r="K74" s="329"/>
      <c r="L74" s="329"/>
      <c r="M74" s="329"/>
      <c r="R74" s="328"/>
    </row>
    <row r="75" spans="5:18" ht="18" customHeight="1">
      <c r="E75" s="328"/>
      <c r="F75" s="328"/>
      <c r="G75" s="327"/>
      <c r="H75" s="328"/>
      <c r="I75" s="328"/>
      <c r="J75" s="329"/>
      <c r="K75" s="329"/>
      <c r="L75" s="329"/>
      <c r="M75" s="329"/>
      <c r="R75" s="328"/>
    </row>
    <row r="76" spans="5:18" ht="18" customHeight="1">
      <c r="E76" s="328"/>
      <c r="F76" s="328"/>
      <c r="G76" s="327"/>
      <c r="H76" s="328"/>
      <c r="I76" s="328"/>
      <c r="J76" s="329"/>
      <c r="K76" s="329"/>
      <c r="L76" s="329"/>
      <c r="M76" s="329"/>
      <c r="R76" s="328"/>
    </row>
    <row r="77" spans="5:18" ht="18" customHeight="1">
      <c r="E77" s="328"/>
      <c r="F77" s="328"/>
      <c r="G77" s="327"/>
      <c r="H77" s="328"/>
      <c r="I77" s="328"/>
      <c r="J77" s="329"/>
      <c r="K77" s="329"/>
      <c r="L77" s="329"/>
      <c r="M77" s="329"/>
      <c r="R77" s="328"/>
    </row>
    <row r="78" spans="5:18" ht="18" customHeight="1">
      <c r="E78" s="328"/>
      <c r="F78" s="328"/>
      <c r="G78" s="327"/>
      <c r="H78" s="328"/>
      <c r="I78" s="328"/>
      <c r="J78" s="329"/>
      <c r="K78" s="329"/>
      <c r="L78" s="329"/>
      <c r="M78" s="329"/>
      <c r="R78" s="328"/>
    </row>
    <row r="79" spans="5:18" ht="18" customHeight="1">
      <c r="E79" s="328"/>
      <c r="F79" s="328"/>
      <c r="G79" s="327"/>
      <c r="H79" s="328"/>
      <c r="I79" s="328"/>
      <c r="J79" s="329"/>
      <c r="K79" s="329"/>
      <c r="L79" s="329"/>
      <c r="M79" s="329"/>
      <c r="R79" s="328"/>
    </row>
    <row r="80" spans="5:18" ht="18" customHeight="1">
      <c r="E80" s="328"/>
      <c r="F80" s="328"/>
      <c r="G80" s="327"/>
      <c r="H80" s="328"/>
      <c r="I80" s="328"/>
      <c r="J80" s="329"/>
      <c r="K80" s="329"/>
      <c r="L80" s="329"/>
      <c r="M80" s="329"/>
      <c r="R80" s="328"/>
    </row>
    <row r="81" spans="5:18" ht="18" customHeight="1">
      <c r="E81" s="328"/>
      <c r="F81" s="328"/>
      <c r="G81" s="327"/>
      <c r="H81" s="328"/>
      <c r="I81" s="328"/>
      <c r="J81" s="329"/>
      <c r="K81" s="329"/>
      <c r="L81" s="329"/>
      <c r="M81" s="329"/>
      <c r="R81" s="328"/>
    </row>
    <row r="82" spans="5:18" ht="18" customHeight="1">
      <c r="E82" s="328"/>
      <c r="F82" s="328"/>
      <c r="G82" s="327"/>
      <c r="H82" s="328"/>
      <c r="I82" s="328"/>
      <c r="J82" s="329"/>
      <c r="K82" s="329"/>
      <c r="L82" s="329"/>
      <c r="M82" s="329"/>
      <c r="R82" s="328"/>
    </row>
    <row r="83" spans="5:18" ht="18" customHeight="1">
      <c r="E83" s="328"/>
      <c r="F83" s="328"/>
      <c r="G83" s="327"/>
      <c r="H83" s="328"/>
      <c r="I83" s="328"/>
      <c r="J83" s="329"/>
      <c r="K83" s="329"/>
      <c r="L83" s="329"/>
      <c r="M83" s="329"/>
      <c r="R83" s="328"/>
    </row>
    <row r="84" spans="5:18" ht="18" customHeight="1">
      <c r="E84" s="328"/>
      <c r="F84" s="328"/>
      <c r="G84" s="327"/>
      <c r="H84" s="328"/>
      <c r="I84" s="328"/>
      <c r="J84" s="329"/>
      <c r="K84" s="329"/>
      <c r="L84" s="329"/>
      <c r="M84" s="329"/>
      <c r="R84" s="328"/>
    </row>
    <row r="85" spans="5:18" ht="18" customHeight="1">
      <c r="E85" s="328"/>
      <c r="F85" s="328"/>
      <c r="G85" s="327"/>
      <c r="H85" s="328"/>
      <c r="I85" s="328"/>
      <c r="J85" s="329"/>
      <c r="K85" s="329"/>
      <c r="L85" s="329"/>
      <c r="M85" s="329"/>
      <c r="R85" s="328"/>
    </row>
    <row r="86" spans="5:18" ht="18" customHeight="1">
      <c r="E86" s="328"/>
      <c r="F86" s="328"/>
      <c r="G86" s="327"/>
      <c r="H86" s="328"/>
      <c r="I86" s="328"/>
      <c r="J86" s="329"/>
      <c r="K86" s="329"/>
      <c r="L86" s="329"/>
      <c r="M86" s="329"/>
      <c r="R86" s="328"/>
    </row>
    <row r="87" spans="5:18" ht="18" customHeight="1">
      <c r="E87" s="328"/>
      <c r="F87" s="328"/>
      <c r="G87" s="327"/>
      <c r="H87" s="328"/>
      <c r="I87" s="328"/>
      <c r="J87" s="329"/>
      <c r="K87" s="329"/>
      <c r="L87" s="329"/>
      <c r="M87" s="329"/>
      <c r="R87" s="328"/>
    </row>
    <row r="88" spans="5:18" ht="18" customHeight="1">
      <c r="E88" s="328"/>
      <c r="F88" s="328"/>
      <c r="G88" s="327"/>
      <c r="H88" s="328"/>
      <c r="I88" s="328"/>
      <c r="J88" s="329"/>
      <c r="K88" s="329"/>
      <c r="L88" s="329"/>
      <c r="M88" s="329"/>
      <c r="R88" s="328"/>
    </row>
    <row r="89" spans="5:18" ht="18" customHeight="1">
      <c r="E89" s="328"/>
      <c r="F89" s="328"/>
      <c r="H89" s="328"/>
      <c r="I89" s="328"/>
      <c r="R89" s="328"/>
    </row>
    <row r="90" spans="5:18" ht="18" customHeight="1">
      <c r="E90" s="328"/>
      <c r="F90" s="328"/>
      <c r="H90" s="328"/>
      <c r="I90" s="328"/>
      <c r="R90" s="328"/>
    </row>
    <row r="91" spans="5:18" ht="18" customHeight="1">
      <c r="E91" s="328"/>
      <c r="F91" s="328"/>
      <c r="H91" s="328"/>
      <c r="I91" s="328"/>
      <c r="R91" s="328"/>
    </row>
    <row r="92" spans="5:18" ht="18" customHeight="1">
      <c r="E92" s="328"/>
      <c r="F92" s="328"/>
      <c r="H92" s="328"/>
      <c r="I92" s="328"/>
      <c r="R92" s="328"/>
    </row>
    <row r="93" spans="5:18" ht="18" customHeight="1">
      <c r="E93" s="328"/>
      <c r="F93" s="328"/>
      <c r="H93" s="328"/>
      <c r="I93" s="328"/>
      <c r="R93" s="328"/>
    </row>
    <row r="94" spans="5:18" ht="18" customHeight="1">
      <c r="E94" s="328"/>
      <c r="F94" s="328"/>
      <c r="H94" s="328"/>
      <c r="I94" s="328"/>
      <c r="R94" s="328"/>
    </row>
    <row r="95" spans="5:18" ht="18" customHeight="1">
      <c r="E95" s="328"/>
      <c r="F95" s="328"/>
      <c r="H95" s="328"/>
      <c r="I95" s="328"/>
      <c r="R95" s="328"/>
    </row>
    <row r="96" spans="5:18" ht="18" customHeight="1">
      <c r="E96" s="328"/>
      <c r="F96" s="328"/>
      <c r="H96" s="328"/>
      <c r="I96" s="328"/>
      <c r="R96" s="328"/>
    </row>
    <row r="97" spans="5:18" ht="18" customHeight="1">
      <c r="E97" s="328"/>
      <c r="F97" s="328"/>
      <c r="I97" s="328"/>
      <c r="R97" s="328"/>
    </row>
    <row r="98" spans="5:18" ht="18" customHeight="1">
      <c r="E98" s="328"/>
      <c r="F98" s="328"/>
      <c r="I98" s="328"/>
      <c r="R98" s="328"/>
    </row>
    <row r="99" spans="5:18" ht="18" customHeight="1">
      <c r="E99" s="328"/>
      <c r="F99" s="328"/>
      <c r="I99" s="328"/>
      <c r="R99" s="328"/>
    </row>
    <row r="100" spans="5:18" ht="18" customHeight="1">
      <c r="E100" s="328"/>
      <c r="F100" s="328"/>
      <c r="I100" s="328"/>
      <c r="R100" s="328"/>
    </row>
    <row r="101" spans="5:18" ht="18" customHeight="1">
      <c r="E101" s="328"/>
      <c r="F101" s="328"/>
      <c r="I101" s="328"/>
      <c r="R101" s="328"/>
    </row>
    <row r="102" spans="5:18" ht="18" customHeight="1">
      <c r="E102" s="328"/>
      <c r="F102" s="328"/>
      <c r="I102" s="328"/>
      <c r="R102" s="328"/>
    </row>
    <row r="103" spans="5:18" ht="18" customHeight="1">
      <c r="E103" s="328"/>
      <c r="F103" s="328"/>
      <c r="I103" s="328"/>
      <c r="R103" s="328"/>
    </row>
    <row r="104" spans="5:18" ht="18" customHeight="1">
      <c r="E104" s="328"/>
      <c r="F104" s="328"/>
      <c r="I104" s="328"/>
      <c r="R104" s="328"/>
    </row>
    <row r="105" spans="5:18" ht="18" customHeight="1">
      <c r="E105" s="328"/>
      <c r="F105" s="328"/>
      <c r="I105" s="328"/>
      <c r="R105" s="328"/>
    </row>
    <row r="106" spans="5:18" ht="18" customHeight="1">
      <c r="E106" s="328"/>
      <c r="F106" s="328"/>
      <c r="I106" s="328"/>
      <c r="R106" s="328"/>
    </row>
    <row r="107" spans="5:18" ht="18" customHeight="1">
      <c r="E107" s="328"/>
      <c r="F107" s="328"/>
      <c r="I107" s="328"/>
      <c r="R107" s="328"/>
    </row>
    <row r="108" spans="5:18" ht="18" customHeight="1">
      <c r="E108" s="328"/>
      <c r="F108" s="328"/>
      <c r="I108" s="328"/>
      <c r="R108" s="328"/>
    </row>
    <row r="109" spans="5:18" ht="18" customHeight="1">
      <c r="E109" s="328"/>
      <c r="F109" s="328"/>
      <c r="I109" s="328"/>
      <c r="R109" s="328"/>
    </row>
    <row r="110" spans="5:18" ht="18" customHeight="1">
      <c r="E110" s="328"/>
      <c r="F110" s="328"/>
      <c r="I110" s="328"/>
      <c r="R110" s="328"/>
    </row>
    <row r="111" spans="5:18" ht="18" customHeight="1">
      <c r="E111" s="328"/>
      <c r="F111" s="328"/>
      <c r="I111" s="328"/>
      <c r="R111" s="328"/>
    </row>
    <row r="112" spans="5:18" ht="18" customHeight="1">
      <c r="E112" s="328"/>
      <c r="F112" s="328"/>
      <c r="I112" s="328"/>
      <c r="R112" s="328"/>
    </row>
    <row r="113" spans="5:18" ht="18" customHeight="1">
      <c r="E113" s="328"/>
      <c r="F113" s="328"/>
      <c r="I113" s="328"/>
      <c r="R113" s="328"/>
    </row>
    <row r="114" spans="5:18" ht="18" customHeight="1">
      <c r="E114" s="328"/>
      <c r="F114" s="328"/>
      <c r="I114" s="328"/>
      <c r="R114" s="328"/>
    </row>
    <row r="115" spans="5:18" ht="18" customHeight="1">
      <c r="E115" s="328"/>
      <c r="F115" s="328"/>
      <c r="I115" s="328"/>
      <c r="R115" s="328"/>
    </row>
    <row r="116" spans="5:18" ht="18" customHeight="1">
      <c r="E116" s="328"/>
      <c r="F116" s="328"/>
      <c r="I116" s="328"/>
      <c r="R116" s="328"/>
    </row>
    <row r="117" spans="5:18" ht="18" customHeight="1">
      <c r="E117" s="328"/>
      <c r="F117" s="328"/>
      <c r="I117" s="328"/>
      <c r="R117" s="328"/>
    </row>
    <row r="118" spans="5:18" ht="18" customHeight="1">
      <c r="E118" s="328"/>
      <c r="F118" s="328"/>
      <c r="I118" s="328"/>
      <c r="R118" s="328"/>
    </row>
    <row r="119" spans="5:18" ht="18" customHeight="1">
      <c r="E119" s="328"/>
      <c r="F119" s="328"/>
      <c r="I119" s="328"/>
      <c r="R119" s="328"/>
    </row>
    <row r="120" spans="5:18" ht="18" customHeight="1">
      <c r="E120" s="328"/>
      <c r="F120" s="328"/>
      <c r="I120" s="328"/>
      <c r="R120" s="328"/>
    </row>
    <row r="121" spans="5:18" ht="18" customHeight="1">
      <c r="E121" s="328"/>
      <c r="F121" s="328"/>
      <c r="I121" s="328"/>
      <c r="R121" s="328"/>
    </row>
    <row r="122" spans="5:18" ht="18" customHeight="1">
      <c r="E122" s="328"/>
      <c r="F122" s="328"/>
      <c r="I122" s="328"/>
      <c r="R122" s="328"/>
    </row>
    <row r="123" spans="5:18" ht="18" customHeight="1">
      <c r="E123" s="328"/>
      <c r="F123" s="328"/>
      <c r="I123" s="328"/>
      <c r="R123" s="328"/>
    </row>
    <row r="124" spans="5:18" ht="18" customHeight="1">
      <c r="E124" s="328"/>
      <c r="F124" s="328"/>
      <c r="I124" s="328"/>
      <c r="R124" s="328"/>
    </row>
    <row r="125" spans="5:18" ht="18" customHeight="1">
      <c r="E125" s="328"/>
      <c r="F125" s="328"/>
      <c r="I125" s="328"/>
      <c r="R125" s="328"/>
    </row>
    <row r="126" spans="5:18" ht="18" customHeight="1">
      <c r="E126" s="328"/>
      <c r="F126" s="328"/>
      <c r="I126" s="328"/>
      <c r="R126" s="328"/>
    </row>
    <row r="127" spans="5:18" ht="18" customHeight="1">
      <c r="E127" s="328"/>
      <c r="F127" s="328"/>
      <c r="I127" s="328"/>
      <c r="R127" s="328"/>
    </row>
    <row r="128" spans="5:18" ht="18" customHeight="1">
      <c r="E128" s="328"/>
      <c r="F128" s="328"/>
      <c r="I128" s="328"/>
      <c r="R128" s="328"/>
    </row>
    <row r="129" spans="5:18" ht="18" customHeight="1">
      <c r="E129" s="328"/>
      <c r="F129" s="328"/>
      <c r="I129" s="328"/>
      <c r="R129" s="328"/>
    </row>
    <row r="130" spans="5:18" ht="18" customHeight="1">
      <c r="E130" s="328"/>
      <c r="F130" s="328"/>
      <c r="I130" s="328"/>
      <c r="R130" s="328"/>
    </row>
    <row r="131" spans="5:18" ht="18" customHeight="1">
      <c r="E131" s="328"/>
      <c r="F131" s="328"/>
      <c r="I131" s="328"/>
      <c r="R131" s="328"/>
    </row>
    <row r="132" spans="5:18" ht="18" customHeight="1">
      <c r="E132" s="328"/>
      <c r="F132" s="328"/>
      <c r="I132" s="328"/>
      <c r="R132" s="328"/>
    </row>
    <row r="133" spans="5:18" ht="18" customHeight="1">
      <c r="E133" s="328"/>
      <c r="F133" s="328"/>
      <c r="I133" s="328"/>
      <c r="R133" s="328"/>
    </row>
    <row r="134" spans="5:18" ht="18" customHeight="1">
      <c r="E134" s="328"/>
      <c r="F134" s="328"/>
      <c r="I134" s="328"/>
      <c r="R134" s="328"/>
    </row>
    <row r="135" spans="5:18" ht="18" customHeight="1">
      <c r="E135" s="328"/>
      <c r="F135" s="328"/>
      <c r="I135" s="328"/>
      <c r="R135" s="328"/>
    </row>
    <row r="136" spans="5:18" ht="18" customHeight="1">
      <c r="E136" s="328"/>
      <c r="F136" s="328"/>
      <c r="I136" s="328"/>
      <c r="R136" s="328"/>
    </row>
    <row r="137" spans="5:18" ht="18" customHeight="1">
      <c r="E137" s="328"/>
      <c r="F137" s="328"/>
      <c r="I137" s="328"/>
      <c r="R137" s="328"/>
    </row>
    <row r="138" spans="5:18" ht="18" customHeight="1">
      <c r="E138" s="328"/>
      <c r="F138" s="328"/>
      <c r="I138" s="328"/>
      <c r="R138" s="328"/>
    </row>
    <row r="139" spans="5:18" ht="18" customHeight="1">
      <c r="E139" s="328"/>
      <c r="F139" s="328"/>
      <c r="I139" s="328"/>
      <c r="R139" s="328"/>
    </row>
    <row r="140" spans="5:18" ht="18" customHeight="1">
      <c r="E140" s="328"/>
      <c r="F140" s="328"/>
      <c r="I140" s="328"/>
      <c r="R140" s="328"/>
    </row>
    <row r="141" spans="5:18" ht="18" customHeight="1">
      <c r="E141" s="328"/>
      <c r="F141" s="328"/>
      <c r="I141" s="328"/>
      <c r="R141" s="328"/>
    </row>
    <row r="142" spans="5:18" ht="18" customHeight="1">
      <c r="E142" s="328"/>
      <c r="F142" s="328"/>
      <c r="I142" s="328"/>
      <c r="R142" s="328"/>
    </row>
    <row r="143" spans="5:18" ht="18" customHeight="1">
      <c r="E143" s="328"/>
      <c r="F143" s="328"/>
      <c r="I143" s="328"/>
      <c r="R143" s="328"/>
    </row>
    <row r="144" spans="5:18" ht="18" customHeight="1">
      <c r="E144" s="328"/>
      <c r="F144" s="328"/>
      <c r="I144" s="328"/>
      <c r="R144" s="328"/>
    </row>
    <row r="145" spans="5:18" ht="18" customHeight="1">
      <c r="E145" s="328"/>
      <c r="F145" s="328"/>
      <c r="I145" s="328"/>
      <c r="R145" s="328"/>
    </row>
    <row r="146" spans="5:18" ht="18" customHeight="1">
      <c r="E146" s="328"/>
      <c r="F146" s="328"/>
      <c r="I146" s="328"/>
      <c r="R146" s="328"/>
    </row>
    <row r="147" spans="5:18" ht="18" customHeight="1">
      <c r="E147" s="328"/>
      <c r="F147" s="328"/>
      <c r="I147" s="328"/>
      <c r="R147" s="328"/>
    </row>
    <row r="148" spans="5:18" ht="18" customHeight="1">
      <c r="E148" s="328"/>
      <c r="F148" s="328"/>
      <c r="I148" s="328"/>
      <c r="R148" s="328"/>
    </row>
    <row r="149" spans="5:18" ht="18" customHeight="1">
      <c r="E149" s="328"/>
      <c r="F149" s="328"/>
      <c r="I149" s="328"/>
      <c r="R149" s="328"/>
    </row>
    <row r="150" spans="5:18" ht="18" customHeight="1">
      <c r="E150" s="328"/>
      <c r="F150" s="328"/>
      <c r="I150" s="328"/>
      <c r="R150" s="328"/>
    </row>
    <row r="151" spans="5:18" ht="18" customHeight="1">
      <c r="E151" s="328"/>
      <c r="F151" s="328"/>
      <c r="I151" s="328"/>
      <c r="R151" s="328"/>
    </row>
    <row r="152" spans="5:18" ht="18" customHeight="1">
      <c r="E152" s="328"/>
      <c r="F152" s="328"/>
      <c r="I152" s="328"/>
      <c r="R152" s="328"/>
    </row>
    <row r="153" spans="5:18" ht="18" customHeight="1">
      <c r="E153" s="328"/>
      <c r="F153" s="328"/>
      <c r="I153" s="328"/>
      <c r="R153" s="328"/>
    </row>
    <row r="154" spans="5:18" ht="18" customHeight="1">
      <c r="E154" s="328"/>
      <c r="F154" s="328"/>
      <c r="I154" s="328"/>
      <c r="R154" s="328"/>
    </row>
    <row r="155" spans="5:18" ht="18" customHeight="1">
      <c r="E155" s="328"/>
      <c r="F155" s="328"/>
      <c r="I155" s="328"/>
      <c r="R155" s="328"/>
    </row>
    <row r="156" spans="5:18" ht="18" customHeight="1">
      <c r="E156" s="328"/>
      <c r="F156" s="328"/>
      <c r="I156" s="328"/>
      <c r="R156" s="328"/>
    </row>
    <row r="157" spans="5:18" ht="18" customHeight="1">
      <c r="E157" s="328"/>
      <c r="F157" s="328"/>
      <c r="I157" s="328"/>
      <c r="R157" s="328"/>
    </row>
    <row r="158" spans="5:18" ht="18" customHeight="1">
      <c r="E158" s="328"/>
      <c r="F158" s="328"/>
      <c r="I158" s="328"/>
      <c r="R158" s="328"/>
    </row>
    <row r="159" spans="5:18" ht="18" customHeight="1">
      <c r="E159" s="328"/>
      <c r="F159" s="328"/>
      <c r="I159" s="328"/>
      <c r="R159" s="328"/>
    </row>
    <row r="160" spans="5:18" ht="18" customHeight="1">
      <c r="E160" s="328"/>
      <c r="F160" s="328"/>
      <c r="I160" s="328"/>
      <c r="R160" s="328"/>
    </row>
    <row r="161" spans="5:18" ht="18" customHeight="1">
      <c r="E161" s="328"/>
      <c r="F161" s="328"/>
      <c r="I161" s="328"/>
      <c r="R161" s="328"/>
    </row>
    <row r="162" spans="5:18" ht="18" customHeight="1">
      <c r="E162" s="328"/>
      <c r="F162" s="328"/>
      <c r="I162" s="328"/>
      <c r="R162" s="328"/>
    </row>
    <row r="163" spans="5:18" ht="18" customHeight="1">
      <c r="E163" s="328"/>
      <c r="F163" s="328"/>
      <c r="I163" s="328"/>
      <c r="R163" s="328"/>
    </row>
    <row r="164" spans="5:18" ht="18" customHeight="1">
      <c r="E164" s="328"/>
      <c r="F164" s="328"/>
      <c r="I164" s="328"/>
      <c r="R164" s="328"/>
    </row>
    <row r="165" spans="5:18" ht="18" customHeight="1">
      <c r="E165" s="328"/>
      <c r="F165" s="328"/>
      <c r="I165" s="328"/>
      <c r="R165" s="328"/>
    </row>
    <row r="166" spans="5:18" ht="18" customHeight="1">
      <c r="E166" s="328"/>
      <c r="F166" s="328"/>
      <c r="I166" s="328"/>
      <c r="R166" s="328"/>
    </row>
    <row r="167" spans="5:18" ht="18" customHeight="1">
      <c r="E167" s="328"/>
      <c r="F167" s="328"/>
      <c r="I167" s="328"/>
      <c r="R167" s="328"/>
    </row>
    <row r="168" spans="5:18" ht="18" customHeight="1">
      <c r="E168" s="328"/>
      <c r="F168" s="328"/>
      <c r="I168" s="328"/>
      <c r="R168" s="328"/>
    </row>
    <row r="169" spans="5:18" ht="18" customHeight="1">
      <c r="E169" s="328"/>
      <c r="F169" s="328"/>
      <c r="I169" s="328"/>
      <c r="R169" s="328"/>
    </row>
    <row r="170" spans="5:18" ht="18" customHeight="1">
      <c r="E170" s="328"/>
      <c r="F170" s="328"/>
      <c r="I170" s="328"/>
      <c r="R170" s="328"/>
    </row>
    <row r="171" spans="5:18" ht="18" customHeight="1">
      <c r="E171" s="328"/>
      <c r="F171" s="328"/>
      <c r="I171" s="328"/>
      <c r="R171" s="328"/>
    </row>
    <row r="172" spans="5:18" ht="18" customHeight="1">
      <c r="E172" s="328"/>
      <c r="F172" s="328"/>
      <c r="I172" s="328"/>
      <c r="R172" s="328"/>
    </row>
    <row r="173" spans="5:18" ht="18" customHeight="1">
      <c r="E173" s="328"/>
      <c r="F173" s="328"/>
      <c r="I173" s="328"/>
      <c r="R173" s="328"/>
    </row>
    <row r="174" spans="5:18" ht="18" customHeight="1">
      <c r="E174" s="328"/>
      <c r="F174" s="328"/>
      <c r="I174" s="328"/>
      <c r="R174" s="328"/>
    </row>
    <row r="175" spans="5:18" ht="18" customHeight="1">
      <c r="E175" s="328"/>
      <c r="F175" s="328"/>
      <c r="I175" s="328"/>
      <c r="R175" s="328"/>
    </row>
    <row r="176" spans="5:18" ht="18" customHeight="1">
      <c r="E176" s="328"/>
      <c r="F176" s="328"/>
      <c r="I176" s="328"/>
      <c r="R176" s="328"/>
    </row>
    <row r="177" spans="5:18" ht="18" customHeight="1">
      <c r="E177" s="328"/>
      <c r="F177" s="328"/>
      <c r="I177" s="328"/>
      <c r="R177" s="328"/>
    </row>
    <row r="178" spans="5:18" ht="18" customHeight="1">
      <c r="E178" s="328"/>
      <c r="F178" s="328"/>
      <c r="I178" s="328"/>
      <c r="R178" s="328"/>
    </row>
    <row r="179" spans="5:18" ht="18" customHeight="1">
      <c r="E179" s="328"/>
      <c r="F179" s="328"/>
      <c r="I179" s="328"/>
      <c r="R179" s="328"/>
    </row>
    <row r="180" spans="5:18" ht="18" customHeight="1">
      <c r="E180" s="328"/>
      <c r="F180" s="328"/>
      <c r="I180" s="328"/>
      <c r="R180" s="328"/>
    </row>
    <row r="181" spans="5:18" ht="18" customHeight="1">
      <c r="E181" s="328"/>
      <c r="F181" s="328"/>
      <c r="I181" s="328"/>
      <c r="R181" s="328"/>
    </row>
    <row r="182" spans="5:18" ht="18" customHeight="1">
      <c r="E182" s="328"/>
      <c r="F182" s="328"/>
      <c r="I182" s="328"/>
      <c r="R182" s="328"/>
    </row>
    <row r="183" spans="5:18" ht="18" customHeight="1">
      <c r="E183" s="328"/>
      <c r="F183" s="328"/>
      <c r="I183" s="328"/>
      <c r="R183" s="328"/>
    </row>
    <row r="184" spans="5:18" ht="18" customHeight="1">
      <c r="E184" s="328"/>
      <c r="F184" s="328"/>
      <c r="I184" s="328"/>
      <c r="R184" s="328"/>
    </row>
    <row r="185" spans="5:18" ht="18" customHeight="1">
      <c r="E185" s="328"/>
      <c r="F185" s="328"/>
      <c r="I185" s="328"/>
      <c r="R185" s="328"/>
    </row>
    <row r="186" spans="5:18" ht="18" customHeight="1">
      <c r="E186" s="328"/>
      <c r="F186" s="328"/>
      <c r="I186" s="328"/>
      <c r="R186" s="328"/>
    </row>
    <row r="187" spans="5:18" ht="18" customHeight="1">
      <c r="E187" s="328"/>
      <c r="F187" s="328"/>
      <c r="I187" s="328"/>
      <c r="R187" s="328"/>
    </row>
    <row r="188" spans="5:18" ht="18" customHeight="1">
      <c r="E188" s="328"/>
      <c r="F188" s="328"/>
      <c r="I188" s="328"/>
      <c r="R188" s="328"/>
    </row>
    <row r="189" spans="5:18" ht="18" customHeight="1">
      <c r="E189" s="328"/>
      <c r="F189" s="328"/>
      <c r="I189" s="328"/>
      <c r="R189" s="328"/>
    </row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4" r:id="rId1"/>
  <headerFooter alignWithMargins="0">
    <oddHeader>&amp;R&amp;"Times New Roman,Normalny"&amp;12Załącznik Nr 15 do Uchwały  Nr III/12/2010 Rady Miejskiej w Barlinku z dnia 30 grudnia 2010</oddHeader>
    <oddFooter>&amp;C&amp;"Times New Roman,Normalny"&amp;12Strona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48"/>
  <sheetViews>
    <sheetView showGridLines="0" defaultGridColor="0" view="pageBreakPreview" zoomScaleSheetLayoutView="100" colorId="15" workbookViewId="0" topLeftCell="A1">
      <pane ySplit="6" topLeftCell="P7" activePane="bottomLeft" state="frozen"/>
      <selection pane="topLeft" activeCell="A1" sqref="A1"/>
      <selection pane="bottomLeft" activeCell="H53" sqref="H53"/>
    </sheetView>
  </sheetViews>
  <sheetFormatPr defaultColWidth="9.00390625" defaultRowHeight="12.75"/>
  <cols>
    <col min="1" max="1" width="5.125" style="307" customWidth="1"/>
    <col min="2" max="2" width="6.00390625" style="307" customWidth="1"/>
    <col min="3" max="3" width="5.875" style="307" customWidth="1"/>
    <col min="4" max="4" width="28.25390625" style="307" customWidth="1"/>
    <col min="5" max="5" width="12.00390625" style="307" customWidth="1"/>
    <col min="6" max="9" width="11.625" style="307" customWidth="1"/>
    <col min="10" max="10" width="8.125" style="307" customWidth="1"/>
    <col min="11" max="11" width="9.375" style="307" customWidth="1"/>
    <col min="12" max="12" width="8.125" style="307" customWidth="1"/>
    <col min="13" max="15" width="6.375" style="307" customWidth="1"/>
    <col min="16" max="16" width="8.375" style="307" customWidth="1"/>
    <col min="17" max="17" width="7.125" style="307" customWidth="1"/>
    <col min="18" max="18" width="7.875" style="307" customWidth="1"/>
    <col min="19" max="16384" width="9.00390625" style="307" customWidth="1"/>
  </cols>
  <sheetData>
    <row r="1" spans="1:18" ht="29.25" customHeight="1">
      <c r="A1" s="551" t="s">
        <v>412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spans="1:18" ht="10.5" customHeight="1">
      <c r="A2" s="536" t="s">
        <v>1</v>
      </c>
      <c r="B2" s="552" t="s">
        <v>21</v>
      </c>
      <c r="C2" s="552" t="s">
        <v>22</v>
      </c>
      <c r="D2" s="552" t="s">
        <v>186</v>
      </c>
      <c r="E2" s="552" t="s">
        <v>187</v>
      </c>
      <c r="F2" s="553" t="s">
        <v>188</v>
      </c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1:18" ht="11.25" customHeight="1">
      <c r="A3" s="536"/>
      <c r="B3" s="552"/>
      <c r="C3" s="552"/>
      <c r="D3" s="552"/>
      <c r="E3" s="552"/>
      <c r="F3" s="554" t="s">
        <v>177</v>
      </c>
      <c r="G3" s="555" t="s">
        <v>25</v>
      </c>
      <c r="H3" s="555"/>
      <c r="I3" s="555"/>
      <c r="J3" s="555"/>
      <c r="K3" s="555"/>
      <c r="L3" s="555"/>
      <c r="M3" s="555"/>
      <c r="N3" s="555"/>
      <c r="O3" s="542" t="s">
        <v>189</v>
      </c>
      <c r="P3" s="555" t="s">
        <v>25</v>
      </c>
      <c r="Q3" s="555"/>
      <c r="R3" s="555"/>
    </row>
    <row r="4" spans="1:18" ht="11.25" customHeight="1">
      <c r="A4" s="536"/>
      <c r="B4" s="552"/>
      <c r="C4" s="552"/>
      <c r="D4" s="552"/>
      <c r="E4" s="552"/>
      <c r="F4" s="554"/>
      <c r="G4" s="554" t="s">
        <v>190</v>
      </c>
      <c r="H4" s="555" t="s">
        <v>191</v>
      </c>
      <c r="I4" s="555"/>
      <c r="J4" s="542" t="s">
        <v>192</v>
      </c>
      <c r="K4" s="542" t="s">
        <v>193</v>
      </c>
      <c r="L4" s="542" t="s">
        <v>200</v>
      </c>
      <c r="M4" s="542" t="s">
        <v>194</v>
      </c>
      <c r="N4" s="542" t="s">
        <v>195</v>
      </c>
      <c r="O4" s="542"/>
      <c r="P4" s="542" t="s">
        <v>196</v>
      </c>
      <c r="Q4" s="233" t="s">
        <v>25</v>
      </c>
      <c r="R4" s="542" t="s">
        <v>197</v>
      </c>
    </row>
    <row r="5" spans="1:18" ht="157.5">
      <c r="A5" s="536"/>
      <c r="B5" s="552"/>
      <c r="C5" s="552"/>
      <c r="D5" s="552"/>
      <c r="E5" s="552"/>
      <c r="F5" s="554"/>
      <c r="G5" s="554"/>
      <c r="H5" s="232" t="s">
        <v>198</v>
      </c>
      <c r="I5" s="232" t="s">
        <v>199</v>
      </c>
      <c r="J5" s="542"/>
      <c r="K5" s="542"/>
      <c r="L5" s="542"/>
      <c r="M5" s="542"/>
      <c r="N5" s="542"/>
      <c r="O5" s="542"/>
      <c r="P5" s="542"/>
      <c r="Q5" s="234" t="s">
        <v>200</v>
      </c>
      <c r="R5" s="542"/>
    </row>
    <row r="6" spans="1:18" ht="12.75">
      <c r="A6" s="308">
        <v>1</v>
      </c>
      <c r="B6" s="308">
        <v>2</v>
      </c>
      <c r="C6" s="308">
        <v>3</v>
      </c>
      <c r="D6" s="308">
        <v>4</v>
      </c>
      <c r="E6" s="308">
        <v>5</v>
      </c>
      <c r="F6" s="308">
        <v>6</v>
      </c>
      <c r="G6" s="308">
        <v>7</v>
      </c>
      <c r="H6" s="308">
        <v>8</v>
      </c>
      <c r="I6" s="308">
        <v>9</v>
      </c>
      <c r="J6" s="308">
        <v>10</v>
      </c>
      <c r="K6" s="308">
        <v>11</v>
      </c>
      <c r="L6" s="308">
        <v>12</v>
      </c>
      <c r="M6" s="308">
        <v>13</v>
      </c>
      <c r="N6" s="308">
        <v>14</v>
      </c>
      <c r="O6" s="308">
        <v>15</v>
      </c>
      <c r="P6" s="308">
        <v>16</v>
      </c>
      <c r="Q6" s="308">
        <v>17</v>
      </c>
      <c r="R6" s="308">
        <v>18</v>
      </c>
    </row>
    <row r="7" spans="1:18" ht="16.5" customHeight="1">
      <c r="A7" s="310">
        <v>801</v>
      </c>
      <c r="B7" s="310"/>
      <c r="C7" s="310"/>
      <c r="D7" s="310" t="s">
        <v>115</v>
      </c>
      <c r="E7" s="311">
        <f aca="true" t="shared" si="0" ref="E7:R7">E8+E30+E40+E46</f>
        <v>3247703</v>
      </c>
      <c r="F7" s="311">
        <f t="shared" si="0"/>
        <v>3247703</v>
      </c>
      <c r="G7" s="311">
        <f t="shared" si="0"/>
        <v>3237868</v>
      </c>
      <c r="H7" s="311">
        <f t="shared" si="0"/>
        <v>2842734</v>
      </c>
      <c r="I7" s="311">
        <f t="shared" si="0"/>
        <v>395134</v>
      </c>
      <c r="J7" s="311">
        <f t="shared" si="0"/>
        <v>0</v>
      </c>
      <c r="K7" s="311">
        <f t="shared" si="0"/>
        <v>9835</v>
      </c>
      <c r="L7" s="311">
        <f t="shared" si="0"/>
        <v>0</v>
      </c>
      <c r="M7" s="311">
        <f t="shared" si="0"/>
        <v>0</v>
      </c>
      <c r="N7" s="311">
        <f t="shared" si="0"/>
        <v>0</v>
      </c>
      <c r="O7" s="311">
        <f t="shared" si="0"/>
        <v>0</v>
      </c>
      <c r="P7" s="311">
        <f t="shared" si="0"/>
        <v>0</v>
      </c>
      <c r="Q7" s="311">
        <f t="shared" si="0"/>
        <v>0</v>
      </c>
      <c r="R7" s="311">
        <f t="shared" si="0"/>
        <v>0</v>
      </c>
    </row>
    <row r="8" spans="1:18" ht="16.5" customHeight="1">
      <c r="A8" s="312"/>
      <c r="B8" s="312">
        <v>80101</v>
      </c>
      <c r="C8" s="312"/>
      <c r="D8" s="313" t="s">
        <v>116</v>
      </c>
      <c r="E8" s="314">
        <f aca="true" t="shared" si="1" ref="E8:R8">SUM(E9:E29)</f>
        <v>3124676</v>
      </c>
      <c r="F8" s="314">
        <f t="shared" si="1"/>
        <v>3124676</v>
      </c>
      <c r="G8" s="314">
        <f t="shared" si="1"/>
        <v>3115092</v>
      </c>
      <c r="H8" s="314">
        <f t="shared" si="1"/>
        <v>2758796</v>
      </c>
      <c r="I8" s="314">
        <f t="shared" si="1"/>
        <v>356296</v>
      </c>
      <c r="J8" s="314">
        <f t="shared" si="1"/>
        <v>0</v>
      </c>
      <c r="K8" s="314">
        <f t="shared" si="1"/>
        <v>9584</v>
      </c>
      <c r="L8" s="314">
        <f t="shared" si="1"/>
        <v>0</v>
      </c>
      <c r="M8" s="314">
        <f t="shared" si="1"/>
        <v>0</v>
      </c>
      <c r="N8" s="314">
        <f t="shared" si="1"/>
        <v>0</v>
      </c>
      <c r="O8" s="314">
        <f t="shared" si="1"/>
        <v>0</v>
      </c>
      <c r="P8" s="314">
        <f t="shared" si="1"/>
        <v>0</v>
      </c>
      <c r="Q8" s="314">
        <f t="shared" si="1"/>
        <v>0</v>
      </c>
      <c r="R8" s="314">
        <f t="shared" si="1"/>
        <v>0</v>
      </c>
    </row>
    <row r="9" spans="1:18" ht="27" customHeight="1">
      <c r="A9" s="312"/>
      <c r="B9" s="312"/>
      <c r="C9" s="319">
        <v>3020</v>
      </c>
      <c r="D9" s="320" t="s">
        <v>282</v>
      </c>
      <c r="E9" s="330">
        <f aca="true" t="shared" si="2" ref="E9:E29">F9+O9</f>
        <v>9584</v>
      </c>
      <c r="F9" s="330">
        <f aca="true" t="shared" si="3" ref="F9:F29">G9+J9+K9+L9+M9+N9</f>
        <v>9584</v>
      </c>
      <c r="G9" s="330">
        <f aca="true" t="shared" si="4" ref="G9:G29">H9+I9</f>
        <v>0</v>
      </c>
      <c r="H9" s="321">
        <v>0</v>
      </c>
      <c r="I9" s="321">
        <v>0</v>
      </c>
      <c r="J9" s="321">
        <v>0</v>
      </c>
      <c r="K9" s="321">
        <v>9584</v>
      </c>
      <c r="L9" s="321"/>
      <c r="M9" s="321"/>
      <c r="N9" s="321"/>
      <c r="O9" s="321">
        <v>0</v>
      </c>
      <c r="P9" s="321"/>
      <c r="Q9" s="321"/>
      <c r="R9" s="321">
        <v>0</v>
      </c>
    </row>
    <row r="10" spans="1:18" ht="17.25" customHeight="1">
      <c r="A10" s="319"/>
      <c r="B10" s="319"/>
      <c r="C10" s="319">
        <v>3240</v>
      </c>
      <c r="D10" s="320" t="s">
        <v>294</v>
      </c>
      <c r="E10" s="330">
        <f t="shared" si="2"/>
        <v>0</v>
      </c>
      <c r="F10" s="330">
        <f t="shared" si="3"/>
        <v>0</v>
      </c>
      <c r="G10" s="330">
        <f t="shared" si="4"/>
        <v>0</v>
      </c>
      <c r="H10" s="321">
        <v>0</v>
      </c>
      <c r="I10" s="321">
        <v>0</v>
      </c>
      <c r="J10" s="321">
        <v>0</v>
      </c>
      <c r="K10" s="321">
        <v>0</v>
      </c>
      <c r="L10" s="321"/>
      <c r="M10" s="321"/>
      <c r="N10" s="321"/>
      <c r="O10" s="321">
        <v>0</v>
      </c>
      <c r="P10" s="321"/>
      <c r="Q10" s="321"/>
      <c r="R10" s="321">
        <v>0</v>
      </c>
    </row>
    <row r="11" spans="1:18" ht="27" customHeight="1">
      <c r="A11" s="319"/>
      <c r="B11" s="319"/>
      <c r="C11" s="319">
        <v>4010</v>
      </c>
      <c r="D11" s="320" t="s">
        <v>265</v>
      </c>
      <c r="E11" s="330">
        <f t="shared" si="2"/>
        <v>2152707</v>
      </c>
      <c r="F11" s="330">
        <f t="shared" si="3"/>
        <v>2152707</v>
      </c>
      <c r="G11" s="330">
        <f t="shared" si="4"/>
        <v>2152707</v>
      </c>
      <c r="H11" s="321">
        <f>(1252896+360398+222444+46200+10076+33103+15637)+(173748+8505+29700)</f>
        <v>2152707</v>
      </c>
      <c r="I11" s="321"/>
      <c r="J11" s="321">
        <v>0</v>
      </c>
      <c r="K11" s="321">
        <v>0</v>
      </c>
      <c r="L11" s="321"/>
      <c r="M11" s="321"/>
      <c r="N11" s="321"/>
      <c r="O11" s="321">
        <v>0</v>
      </c>
      <c r="P11" s="321"/>
      <c r="Q11" s="321"/>
      <c r="R11" s="321">
        <v>0</v>
      </c>
    </row>
    <row r="12" spans="1:18" ht="17.25" customHeight="1">
      <c r="A12" s="319"/>
      <c r="B12" s="319"/>
      <c r="C12" s="319">
        <v>4040</v>
      </c>
      <c r="D12" s="320" t="s">
        <v>283</v>
      </c>
      <c r="E12" s="330">
        <f t="shared" si="2"/>
        <v>177935</v>
      </c>
      <c r="F12" s="330">
        <f t="shared" si="3"/>
        <v>177935</v>
      </c>
      <c r="G12" s="330">
        <f t="shared" si="4"/>
        <v>177935</v>
      </c>
      <c r="H12" s="321">
        <v>177935</v>
      </c>
      <c r="I12" s="321"/>
      <c r="J12" s="321">
        <v>0</v>
      </c>
      <c r="K12" s="321">
        <v>0</v>
      </c>
      <c r="L12" s="321"/>
      <c r="M12" s="321"/>
      <c r="N12" s="321"/>
      <c r="O12" s="321">
        <v>0</v>
      </c>
      <c r="P12" s="321"/>
      <c r="Q12" s="321"/>
      <c r="R12" s="321">
        <v>0</v>
      </c>
    </row>
    <row r="13" spans="1:18" ht="17.25" customHeight="1">
      <c r="A13" s="319"/>
      <c r="B13" s="319"/>
      <c r="C13" s="319">
        <v>4110</v>
      </c>
      <c r="D13" s="320" t="s">
        <v>284</v>
      </c>
      <c r="E13" s="330">
        <f t="shared" si="2"/>
        <v>370572</v>
      </c>
      <c r="F13" s="330">
        <f t="shared" si="3"/>
        <v>370572</v>
      </c>
      <c r="G13" s="330">
        <f t="shared" si="4"/>
        <v>370572</v>
      </c>
      <c r="H13" s="330">
        <v>370572</v>
      </c>
      <c r="I13" s="330"/>
      <c r="J13" s="321">
        <v>0</v>
      </c>
      <c r="K13" s="321">
        <v>0</v>
      </c>
      <c r="L13" s="321"/>
      <c r="M13" s="321"/>
      <c r="N13" s="321"/>
      <c r="O13" s="321">
        <v>0</v>
      </c>
      <c r="P13" s="321"/>
      <c r="Q13" s="321"/>
      <c r="R13" s="321">
        <v>0</v>
      </c>
    </row>
    <row r="14" spans="1:18" ht="17.25" customHeight="1">
      <c r="A14" s="331"/>
      <c r="B14" s="331"/>
      <c r="C14" s="319">
        <v>4120</v>
      </c>
      <c r="D14" s="320" t="s">
        <v>285</v>
      </c>
      <c r="E14" s="330">
        <f t="shared" si="2"/>
        <v>57582</v>
      </c>
      <c r="F14" s="330">
        <f t="shared" si="3"/>
        <v>57582</v>
      </c>
      <c r="G14" s="330">
        <f t="shared" si="4"/>
        <v>57582</v>
      </c>
      <c r="H14" s="321">
        <v>57582</v>
      </c>
      <c r="I14" s="321"/>
      <c r="J14" s="332">
        <v>0</v>
      </c>
      <c r="K14" s="332">
        <v>0</v>
      </c>
      <c r="L14" s="321"/>
      <c r="M14" s="321"/>
      <c r="N14" s="321"/>
      <c r="O14" s="321">
        <v>0</v>
      </c>
      <c r="P14" s="321"/>
      <c r="Q14" s="321"/>
      <c r="R14" s="321">
        <v>0</v>
      </c>
    </row>
    <row r="15" spans="1:18" ht="17.25" customHeight="1">
      <c r="A15" s="331"/>
      <c r="B15" s="331"/>
      <c r="C15" s="319">
        <v>4170</v>
      </c>
      <c r="D15" s="320" t="s">
        <v>413</v>
      </c>
      <c r="E15" s="330">
        <f t="shared" si="2"/>
        <v>0</v>
      </c>
      <c r="F15" s="330">
        <f t="shared" si="3"/>
        <v>0</v>
      </c>
      <c r="G15" s="330">
        <f t="shared" si="4"/>
        <v>0</v>
      </c>
      <c r="H15" s="321"/>
      <c r="I15" s="321"/>
      <c r="J15" s="332">
        <v>0</v>
      </c>
      <c r="K15" s="332">
        <v>0</v>
      </c>
      <c r="L15" s="321"/>
      <c r="M15" s="321"/>
      <c r="N15" s="321"/>
      <c r="O15" s="321">
        <v>0</v>
      </c>
      <c r="P15" s="321"/>
      <c r="Q15" s="321"/>
      <c r="R15" s="321">
        <v>0</v>
      </c>
    </row>
    <row r="16" spans="1:18" ht="17.25" customHeight="1">
      <c r="A16" s="331"/>
      <c r="B16" s="331"/>
      <c r="C16" s="319">
        <v>4210</v>
      </c>
      <c r="D16" s="320" t="s">
        <v>276</v>
      </c>
      <c r="E16" s="330">
        <f t="shared" si="2"/>
        <v>21640</v>
      </c>
      <c r="F16" s="330">
        <f t="shared" si="3"/>
        <v>21640</v>
      </c>
      <c r="G16" s="330">
        <f t="shared" si="4"/>
        <v>21640</v>
      </c>
      <c r="H16" s="321">
        <v>0</v>
      </c>
      <c r="I16" s="321">
        <f>18000+3640</f>
        <v>21640</v>
      </c>
      <c r="J16" s="321">
        <v>0</v>
      </c>
      <c r="K16" s="332">
        <v>0</v>
      </c>
      <c r="L16" s="321"/>
      <c r="M16" s="321"/>
      <c r="N16" s="321"/>
      <c r="O16" s="321">
        <v>0</v>
      </c>
      <c r="P16" s="321"/>
      <c r="Q16" s="321"/>
      <c r="R16" s="321">
        <v>0</v>
      </c>
    </row>
    <row r="17" spans="1:18" ht="27" customHeight="1">
      <c r="A17" s="331"/>
      <c r="B17" s="331"/>
      <c r="C17" s="319">
        <v>4240</v>
      </c>
      <c r="D17" s="320" t="s">
        <v>277</v>
      </c>
      <c r="E17" s="330">
        <f t="shared" si="2"/>
        <v>10000</v>
      </c>
      <c r="F17" s="330">
        <f t="shared" si="3"/>
        <v>10000</v>
      </c>
      <c r="G17" s="330">
        <f t="shared" si="4"/>
        <v>10000</v>
      </c>
      <c r="H17" s="321">
        <v>0</v>
      </c>
      <c r="I17" s="321">
        <v>10000</v>
      </c>
      <c r="J17" s="321">
        <v>0</v>
      </c>
      <c r="K17" s="332">
        <v>0</v>
      </c>
      <c r="L17" s="321"/>
      <c r="M17" s="321"/>
      <c r="N17" s="321"/>
      <c r="O17" s="321">
        <v>0</v>
      </c>
      <c r="P17" s="321"/>
      <c r="Q17" s="321"/>
      <c r="R17" s="321">
        <v>0</v>
      </c>
    </row>
    <row r="18" spans="1:18" ht="17.25" customHeight="1">
      <c r="A18" s="331"/>
      <c r="B18" s="331"/>
      <c r="C18" s="319">
        <v>4260</v>
      </c>
      <c r="D18" s="320" t="s">
        <v>286</v>
      </c>
      <c r="E18" s="330">
        <f t="shared" si="2"/>
        <v>146000</v>
      </c>
      <c r="F18" s="330">
        <f t="shared" si="3"/>
        <v>146000</v>
      </c>
      <c r="G18" s="330">
        <f t="shared" si="4"/>
        <v>146000</v>
      </c>
      <c r="H18" s="321">
        <v>0</v>
      </c>
      <c r="I18" s="321">
        <v>146000</v>
      </c>
      <c r="J18" s="321">
        <v>0</v>
      </c>
      <c r="K18" s="332">
        <v>0</v>
      </c>
      <c r="L18" s="321"/>
      <c r="M18" s="321"/>
      <c r="N18" s="321"/>
      <c r="O18" s="321">
        <v>0</v>
      </c>
      <c r="P18" s="321"/>
      <c r="Q18" s="321"/>
      <c r="R18" s="321">
        <v>0</v>
      </c>
    </row>
    <row r="19" spans="1:18" ht="17.25" customHeight="1">
      <c r="A19" s="331"/>
      <c r="B19" s="331"/>
      <c r="C19" s="319">
        <v>4270</v>
      </c>
      <c r="D19" s="320" t="s">
        <v>231</v>
      </c>
      <c r="E19" s="330">
        <f t="shared" si="2"/>
        <v>10000</v>
      </c>
      <c r="F19" s="330">
        <f t="shared" si="3"/>
        <v>10000</v>
      </c>
      <c r="G19" s="330">
        <f t="shared" si="4"/>
        <v>10000</v>
      </c>
      <c r="H19" s="321">
        <v>0</v>
      </c>
      <c r="I19" s="321">
        <v>10000</v>
      </c>
      <c r="J19" s="321">
        <v>0</v>
      </c>
      <c r="K19" s="332">
        <v>0</v>
      </c>
      <c r="L19" s="321"/>
      <c r="M19" s="321"/>
      <c r="N19" s="321"/>
      <c r="O19" s="321">
        <v>0</v>
      </c>
      <c r="P19" s="321"/>
      <c r="Q19" s="321"/>
      <c r="R19" s="321">
        <v>0</v>
      </c>
    </row>
    <row r="20" spans="1:18" ht="17.25" customHeight="1">
      <c r="A20" s="331"/>
      <c r="B20" s="331"/>
      <c r="C20" s="319">
        <v>4280</v>
      </c>
      <c r="D20" s="320" t="s">
        <v>278</v>
      </c>
      <c r="E20" s="330">
        <f t="shared" si="2"/>
        <v>400</v>
      </c>
      <c r="F20" s="330">
        <f t="shared" si="3"/>
        <v>400</v>
      </c>
      <c r="G20" s="330">
        <f t="shared" si="4"/>
        <v>400</v>
      </c>
      <c r="H20" s="321">
        <v>0</v>
      </c>
      <c r="I20" s="321">
        <v>400</v>
      </c>
      <c r="J20" s="321">
        <v>0</v>
      </c>
      <c r="K20" s="332">
        <v>0</v>
      </c>
      <c r="L20" s="321"/>
      <c r="M20" s="321"/>
      <c r="N20" s="321"/>
      <c r="O20" s="321">
        <v>0</v>
      </c>
      <c r="P20" s="321"/>
      <c r="Q20" s="321"/>
      <c r="R20" s="321">
        <v>0</v>
      </c>
    </row>
    <row r="21" spans="1:18" ht="17.25" customHeight="1">
      <c r="A21" s="331"/>
      <c r="B21" s="331"/>
      <c r="C21" s="319">
        <v>4300</v>
      </c>
      <c r="D21" s="320" t="s">
        <v>287</v>
      </c>
      <c r="E21" s="330">
        <f t="shared" si="2"/>
        <v>41733</v>
      </c>
      <c r="F21" s="330">
        <f t="shared" si="3"/>
        <v>41733</v>
      </c>
      <c r="G21" s="330">
        <f t="shared" si="4"/>
        <v>41733</v>
      </c>
      <c r="H21" s="321">
        <v>0</v>
      </c>
      <c r="I21" s="321">
        <f>40900+833</f>
        <v>41733</v>
      </c>
      <c r="J21" s="321">
        <v>0</v>
      </c>
      <c r="K21" s="332">
        <v>0</v>
      </c>
      <c r="L21" s="321"/>
      <c r="M21" s="321"/>
      <c r="N21" s="321"/>
      <c r="O21" s="321">
        <v>0</v>
      </c>
      <c r="P21" s="321"/>
      <c r="Q21" s="321"/>
      <c r="R21" s="321">
        <v>0</v>
      </c>
    </row>
    <row r="22" spans="1:18" ht="27" customHeight="1">
      <c r="A22" s="331"/>
      <c r="B22" s="331"/>
      <c r="C22" s="319">
        <v>4350</v>
      </c>
      <c r="D22" s="320" t="s">
        <v>288</v>
      </c>
      <c r="E22" s="330">
        <f t="shared" si="2"/>
        <v>392</v>
      </c>
      <c r="F22" s="330">
        <f t="shared" si="3"/>
        <v>392</v>
      </c>
      <c r="G22" s="330">
        <f t="shared" si="4"/>
        <v>392</v>
      </c>
      <c r="H22" s="321">
        <v>0</v>
      </c>
      <c r="I22" s="321">
        <v>392</v>
      </c>
      <c r="J22" s="321">
        <v>0</v>
      </c>
      <c r="K22" s="332">
        <v>0</v>
      </c>
      <c r="L22" s="321"/>
      <c r="M22" s="321"/>
      <c r="N22" s="321"/>
      <c r="O22" s="321">
        <v>0</v>
      </c>
      <c r="P22" s="321"/>
      <c r="Q22" s="321"/>
      <c r="R22" s="321">
        <v>0</v>
      </c>
    </row>
    <row r="23" spans="1:18" ht="27" customHeight="1">
      <c r="A23" s="331"/>
      <c r="B23" s="331"/>
      <c r="C23" s="319">
        <v>4370</v>
      </c>
      <c r="D23" s="320" t="s">
        <v>289</v>
      </c>
      <c r="E23" s="330">
        <f t="shared" si="2"/>
        <v>3000</v>
      </c>
      <c r="F23" s="330">
        <f t="shared" si="3"/>
        <v>3000</v>
      </c>
      <c r="G23" s="330">
        <f t="shared" si="4"/>
        <v>3000</v>
      </c>
      <c r="H23" s="321">
        <v>0</v>
      </c>
      <c r="I23" s="321">
        <v>3000</v>
      </c>
      <c r="J23" s="321">
        <v>0</v>
      </c>
      <c r="K23" s="321">
        <v>0</v>
      </c>
      <c r="L23" s="321"/>
      <c r="M23" s="321"/>
      <c r="N23" s="321"/>
      <c r="O23" s="321">
        <v>0</v>
      </c>
      <c r="P23" s="321"/>
      <c r="Q23" s="321"/>
      <c r="R23" s="321">
        <v>0</v>
      </c>
    </row>
    <row r="24" spans="1:18" ht="17.25" customHeight="1">
      <c r="A24" s="331"/>
      <c r="B24" s="331"/>
      <c r="C24" s="319">
        <v>4410</v>
      </c>
      <c r="D24" s="320" t="s">
        <v>290</v>
      </c>
      <c r="E24" s="330">
        <f t="shared" si="2"/>
        <v>1397</v>
      </c>
      <c r="F24" s="330">
        <f t="shared" si="3"/>
        <v>1397</v>
      </c>
      <c r="G24" s="330">
        <f t="shared" si="4"/>
        <v>1397</v>
      </c>
      <c r="H24" s="321">
        <v>0</v>
      </c>
      <c r="I24" s="321">
        <v>1397</v>
      </c>
      <c r="J24" s="321">
        <v>0</v>
      </c>
      <c r="K24" s="321">
        <v>0</v>
      </c>
      <c r="L24" s="321"/>
      <c r="M24" s="321"/>
      <c r="N24" s="321"/>
      <c r="O24" s="321">
        <v>0</v>
      </c>
      <c r="P24" s="321"/>
      <c r="Q24" s="321"/>
      <c r="R24" s="321">
        <v>0</v>
      </c>
    </row>
    <row r="25" spans="1:18" ht="17.25" customHeight="1">
      <c r="A25" s="331"/>
      <c r="B25" s="331"/>
      <c r="C25" s="319">
        <v>4430</v>
      </c>
      <c r="D25" s="320" t="s">
        <v>291</v>
      </c>
      <c r="E25" s="330">
        <f t="shared" si="2"/>
        <v>1635</v>
      </c>
      <c r="F25" s="330">
        <f t="shared" si="3"/>
        <v>1635</v>
      </c>
      <c r="G25" s="330">
        <f t="shared" si="4"/>
        <v>1635</v>
      </c>
      <c r="H25" s="321">
        <v>0</v>
      </c>
      <c r="I25" s="321">
        <v>1635</v>
      </c>
      <c r="J25" s="321">
        <v>0</v>
      </c>
      <c r="K25" s="332">
        <v>0</v>
      </c>
      <c r="L25" s="321"/>
      <c r="M25" s="321"/>
      <c r="N25" s="321"/>
      <c r="O25" s="321">
        <v>0</v>
      </c>
      <c r="P25" s="321"/>
      <c r="Q25" s="321"/>
      <c r="R25" s="321">
        <v>0</v>
      </c>
    </row>
    <row r="26" spans="1:18" ht="27" customHeight="1">
      <c r="A26" s="331"/>
      <c r="B26" s="331"/>
      <c r="C26" s="319">
        <v>4440</v>
      </c>
      <c r="D26" s="320" t="s">
        <v>240</v>
      </c>
      <c r="E26" s="330">
        <f t="shared" si="2"/>
        <v>117099</v>
      </c>
      <c r="F26" s="330">
        <f t="shared" si="3"/>
        <v>117099</v>
      </c>
      <c r="G26" s="330">
        <f t="shared" si="4"/>
        <v>117099</v>
      </c>
      <c r="H26" s="321">
        <v>0</v>
      </c>
      <c r="I26" s="321">
        <v>117099</v>
      </c>
      <c r="J26" s="321">
        <v>0</v>
      </c>
      <c r="K26" s="332">
        <v>0</v>
      </c>
      <c r="L26" s="321"/>
      <c r="M26" s="321"/>
      <c r="N26" s="321"/>
      <c r="O26" s="321">
        <v>0</v>
      </c>
      <c r="P26" s="321"/>
      <c r="Q26" s="321"/>
      <c r="R26" s="321">
        <v>0</v>
      </c>
    </row>
    <row r="27" spans="1:18" ht="17.25" customHeight="1">
      <c r="A27" s="315"/>
      <c r="B27" s="315"/>
      <c r="C27" s="316">
        <v>4480</v>
      </c>
      <c r="D27" s="317" t="s">
        <v>272</v>
      </c>
      <c r="E27" s="330">
        <f t="shared" si="2"/>
        <v>0</v>
      </c>
      <c r="F27" s="330">
        <f t="shared" si="3"/>
        <v>0</v>
      </c>
      <c r="G27" s="330">
        <f t="shared" si="4"/>
        <v>0</v>
      </c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</row>
    <row r="28" spans="1:18" ht="38.25" customHeight="1">
      <c r="A28" s="331"/>
      <c r="B28" s="331"/>
      <c r="C28" s="319">
        <v>4700</v>
      </c>
      <c r="D28" s="333" t="s">
        <v>292</v>
      </c>
      <c r="E28" s="330">
        <f t="shared" si="2"/>
        <v>3000</v>
      </c>
      <c r="F28" s="330">
        <f t="shared" si="3"/>
        <v>3000</v>
      </c>
      <c r="G28" s="330">
        <f t="shared" si="4"/>
        <v>3000</v>
      </c>
      <c r="H28" s="321">
        <v>0</v>
      </c>
      <c r="I28" s="321">
        <v>3000</v>
      </c>
      <c r="J28" s="321">
        <v>0</v>
      </c>
      <c r="K28" s="332">
        <v>0</v>
      </c>
      <c r="L28" s="321"/>
      <c r="M28" s="321"/>
      <c r="N28" s="321"/>
      <c r="O28" s="321">
        <v>0</v>
      </c>
      <c r="P28" s="321"/>
      <c r="Q28" s="321"/>
      <c r="R28" s="321">
        <v>0</v>
      </c>
    </row>
    <row r="29" spans="1:18" ht="27" customHeight="1">
      <c r="A29" s="319"/>
      <c r="B29" s="319"/>
      <c r="C29" s="319">
        <v>6050</v>
      </c>
      <c r="D29" s="320" t="s">
        <v>375</v>
      </c>
      <c r="E29" s="330">
        <f t="shared" si="2"/>
        <v>0</v>
      </c>
      <c r="F29" s="330">
        <f t="shared" si="3"/>
        <v>0</v>
      </c>
      <c r="G29" s="330">
        <f t="shared" si="4"/>
        <v>0</v>
      </c>
      <c r="H29" s="321">
        <v>0</v>
      </c>
      <c r="I29" s="321">
        <v>0</v>
      </c>
      <c r="J29" s="321">
        <v>0</v>
      </c>
      <c r="K29" s="321">
        <v>0</v>
      </c>
      <c r="L29" s="321"/>
      <c r="M29" s="321"/>
      <c r="N29" s="321"/>
      <c r="O29" s="321"/>
      <c r="P29" s="321"/>
      <c r="Q29" s="321"/>
      <c r="R29" s="321">
        <v>0</v>
      </c>
    </row>
    <row r="30" spans="1:18" ht="27" customHeight="1">
      <c r="A30" s="312"/>
      <c r="B30" s="312">
        <v>80103</v>
      </c>
      <c r="C30" s="319"/>
      <c r="D30" s="313" t="s">
        <v>274</v>
      </c>
      <c r="E30" s="314">
        <f aca="true" t="shared" si="5" ref="E30:R30">SUM(E31:E39)</f>
        <v>94529</v>
      </c>
      <c r="F30" s="314">
        <f t="shared" si="5"/>
        <v>94529</v>
      </c>
      <c r="G30" s="314">
        <f t="shared" si="5"/>
        <v>94278</v>
      </c>
      <c r="H30" s="314">
        <f t="shared" si="5"/>
        <v>83938</v>
      </c>
      <c r="I30" s="314">
        <f t="shared" si="5"/>
        <v>10340</v>
      </c>
      <c r="J30" s="314">
        <f t="shared" si="5"/>
        <v>0</v>
      </c>
      <c r="K30" s="314">
        <f t="shared" si="5"/>
        <v>251</v>
      </c>
      <c r="L30" s="314">
        <f t="shared" si="5"/>
        <v>0</v>
      </c>
      <c r="M30" s="314">
        <f t="shared" si="5"/>
        <v>0</v>
      </c>
      <c r="N30" s="314">
        <f t="shared" si="5"/>
        <v>0</v>
      </c>
      <c r="O30" s="314">
        <f t="shared" si="5"/>
        <v>0</v>
      </c>
      <c r="P30" s="314">
        <f t="shared" si="5"/>
        <v>0</v>
      </c>
      <c r="Q30" s="314">
        <f t="shared" si="5"/>
        <v>0</v>
      </c>
      <c r="R30" s="314">
        <f t="shared" si="5"/>
        <v>0</v>
      </c>
    </row>
    <row r="31" spans="1:18" ht="27" customHeight="1">
      <c r="A31" s="322"/>
      <c r="B31" s="322"/>
      <c r="C31" s="323">
        <v>3020</v>
      </c>
      <c r="D31" s="334" t="s">
        <v>282</v>
      </c>
      <c r="E31" s="330">
        <f aca="true" t="shared" si="6" ref="E31:E39">F31+O31</f>
        <v>251</v>
      </c>
      <c r="F31" s="330">
        <f aca="true" t="shared" si="7" ref="F31:F39">G31+J31+K31+L31+M31+N31</f>
        <v>251</v>
      </c>
      <c r="G31" s="330">
        <f aca="true" t="shared" si="8" ref="G31:G39">H31+I31</f>
        <v>0</v>
      </c>
      <c r="H31" s="335">
        <v>0</v>
      </c>
      <c r="I31" s="335">
        <v>0</v>
      </c>
      <c r="J31" s="335">
        <v>0</v>
      </c>
      <c r="K31" s="336">
        <v>251</v>
      </c>
      <c r="L31" s="335"/>
      <c r="M31" s="335"/>
      <c r="N31" s="335"/>
      <c r="O31" s="335">
        <v>0</v>
      </c>
      <c r="P31" s="335"/>
      <c r="Q31" s="335"/>
      <c r="R31" s="335">
        <v>0</v>
      </c>
    </row>
    <row r="32" spans="1:18" ht="27" customHeight="1">
      <c r="A32" s="323"/>
      <c r="B32" s="323"/>
      <c r="C32" s="323">
        <v>4010</v>
      </c>
      <c r="D32" s="334" t="s">
        <v>265</v>
      </c>
      <c r="E32" s="330">
        <f t="shared" si="6"/>
        <v>64927</v>
      </c>
      <c r="F32" s="330">
        <f t="shared" si="7"/>
        <v>64927</v>
      </c>
      <c r="G32" s="330">
        <f t="shared" si="8"/>
        <v>64927</v>
      </c>
      <c r="H32" s="335">
        <f>20865+33588+3037+6717+720</f>
        <v>64927</v>
      </c>
      <c r="I32" s="335"/>
      <c r="J32" s="335">
        <v>0</v>
      </c>
      <c r="K32" s="336">
        <v>0</v>
      </c>
      <c r="L32" s="335"/>
      <c r="M32" s="335"/>
      <c r="N32" s="335"/>
      <c r="O32" s="335">
        <v>0</v>
      </c>
      <c r="P32" s="335"/>
      <c r="Q32" s="335"/>
      <c r="R32" s="335">
        <v>0</v>
      </c>
    </row>
    <row r="33" spans="1:18" ht="17.25" customHeight="1">
      <c r="A33" s="323"/>
      <c r="B33" s="323"/>
      <c r="C33" s="323">
        <v>4040</v>
      </c>
      <c r="D33" s="334" t="s">
        <v>283</v>
      </c>
      <c r="E33" s="330">
        <f t="shared" si="6"/>
        <v>5850</v>
      </c>
      <c r="F33" s="330">
        <f t="shared" si="7"/>
        <v>5850</v>
      </c>
      <c r="G33" s="330">
        <f t="shared" si="8"/>
        <v>5850</v>
      </c>
      <c r="H33" s="335">
        <v>5850</v>
      </c>
      <c r="I33" s="335"/>
      <c r="J33" s="335">
        <v>0</v>
      </c>
      <c r="K33" s="336">
        <v>0</v>
      </c>
      <c r="L33" s="335"/>
      <c r="M33" s="335"/>
      <c r="N33" s="335"/>
      <c r="O33" s="335">
        <v>0</v>
      </c>
      <c r="P33" s="335"/>
      <c r="Q33" s="335"/>
      <c r="R33" s="335">
        <v>0</v>
      </c>
    </row>
    <row r="34" spans="1:18" ht="17.25" customHeight="1">
      <c r="A34" s="323"/>
      <c r="B34" s="323"/>
      <c r="C34" s="323">
        <v>4110</v>
      </c>
      <c r="D34" s="334" t="s">
        <v>284</v>
      </c>
      <c r="E34" s="330">
        <f t="shared" si="6"/>
        <v>11254</v>
      </c>
      <c r="F34" s="330">
        <f t="shared" si="7"/>
        <v>11254</v>
      </c>
      <c r="G34" s="330">
        <f t="shared" si="8"/>
        <v>11254</v>
      </c>
      <c r="H34" s="330">
        <v>11254</v>
      </c>
      <c r="I34" s="335"/>
      <c r="J34" s="335">
        <v>0</v>
      </c>
      <c r="K34" s="336">
        <v>0</v>
      </c>
      <c r="L34" s="335"/>
      <c r="M34" s="335"/>
      <c r="N34" s="335"/>
      <c r="O34" s="335">
        <v>0</v>
      </c>
      <c r="P34" s="335"/>
      <c r="Q34" s="335"/>
      <c r="R34" s="335">
        <v>0</v>
      </c>
    </row>
    <row r="35" spans="1:18" ht="17.25" customHeight="1">
      <c r="A35" s="323"/>
      <c r="B35" s="323"/>
      <c r="C35" s="323">
        <v>4120</v>
      </c>
      <c r="D35" s="334" t="s">
        <v>285</v>
      </c>
      <c r="E35" s="330">
        <f t="shared" si="6"/>
        <v>1907</v>
      </c>
      <c r="F35" s="330">
        <f t="shared" si="7"/>
        <v>1907</v>
      </c>
      <c r="G35" s="330">
        <f t="shared" si="8"/>
        <v>1907</v>
      </c>
      <c r="H35" s="335">
        <v>1907</v>
      </c>
      <c r="I35" s="335"/>
      <c r="J35" s="335">
        <v>0</v>
      </c>
      <c r="K35" s="336">
        <v>0</v>
      </c>
      <c r="L35" s="335"/>
      <c r="M35" s="335"/>
      <c r="N35" s="335"/>
      <c r="O35" s="335">
        <v>0</v>
      </c>
      <c r="P35" s="335"/>
      <c r="Q35" s="335"/>
      <c r="R35" s="335">
        <v>0</v>
      </c>
    </row>
    <row r="36" spans="1:18" ht="17.25" customHeight="1">
      <c r="A36" s="323"/>
      <c r="B36" s="323"/>
      <c r="C36" s="323">
        <v>4210</v>
      </c>
      <c r="D36" s="334" t="s">
        <v>276</v>
      </c>
      <c r="E36" s="330">
        <f t="shared" si="6"/>
        <v>3000</v>
      </c>
      <c r="F36" s="330">
        <f t="shared" si="7"/>
        <v>3000</v>
      </c>
      <c r="G36" s="330">
        <f t="shared" si="8"/>
        <v>3000</v>
      </c>
      <c r="H36" s="335">
        <v>0</v>
      </c>
      <c r="I36" s="335">
        <v>3000</v>
      </c>
      <c r="J36" s="335">
        <v>0</v>
      </c>
      <c r="K36" s="336">
        <v>0</v>
      </c>
      <c r="L36" s="335"/>
      <c r="M36" s="335"/>
      <c r="N36" s="335"/>
      <c r="O36" s="335">
        <v>0</v>
      </c>
      <c r="P36" s="335"/>
      <c r="Q36" s="335"/>
      <c r="R36" s="335">
        <v>0</v>
      </c>
    </row>
    <row r="37" spans="1:18" ht="27" customHeight="1">
      <c r="A37" s="337"/>
      <c r="B37" s="337"/>
      <c r="C37" s="338">
        <v>4240</v>
      </c>
      <c r="D37" s="339" t="s">
        <v>277</v>
      </c>
      <c r="E37" s="330">
        <f t="shared" si="6"/>
        <v>3500</v>
      </c>
      <c r="F37" s="330">
        <f t="shared" si="7"/>
        <v>3500</v>
      </c>
      <c r="G37" s="330">
        <f t="shared" si="8"/>
        <v>3500</v>
      </c>
      <c r="H37" s="335">
        <v>0</v>
      </c>
      <c r="I37" s="335">
        <v>3500</v>
      </c>
      <c r="J37" s="335">
        <v>0</v>
      </c>
      <c r="K37" s="335">
        <v>0</v>
      </c>
      <c r="L37" s="335"/>
      <c r="M37" s="335"/>
      <c r="N37" s="335"/>
      <c r="O37" s="335">
        <v>0</v>
      </c>
      <c r="P37" s="335"/>
      <c r="Q37" s="335"/>
      <c r="R37" s="335">
        <v>0</v>
      </c>
    </row>
    <row r="38" spans="1:18" ht="17.25" customHeight="1">
      <c r="A38" s="337"/>
      <c r="B38" s="337"/>
      <c r="C38" s="323">
        <v>4280</v>
      </c>
      <c r="D38" s="334" t="s">
        <v>278</v>
      </c>
      <c r="E38" s="330">
        <f t="shared" si="6"/>
        <v>100</v>
      </c>
      <c r="F38" s="330">
        <f t="shared" si="7"/>
        <v>100</v>
      </c>
      <c r="G38" s="330">
        <f t="shared" si="8"/>
        <v>100</v>
      </c>
      <c r="H38" s="335">
        <v>0</v>
      </c>
      <c r="I38" s="335">
        <v>100</v>
      </c>
      <c r="J38" s="335">
        <v>0</v>
      </c>
      <c r="K38" s="335">
        <v>0</v>
      </c>
      <c r="L38" s="335"/>
      <c r="M38" s="335"/>
      <c r="N38" s="335"/>
      <c r="O38" s="335">
        <v>0</v>
      </c>
      <c r="P38" s="335"/>
      <c r="Q38" s="335"/>
      <c r="R38" s="335">
        <v>0</v>
      </c>
    </row>
    <row r="39" spans="1:18" ht="27" customHeight="1">
      <c r="A39" s="323"/>
      <c r="B39" s="323"/>
      <c r="C39" s="323">
        <v>4440</v>
      </c>
      <c r="D39" s="334" t="s">
        <v>240</v>
      </c>
      <c r="E39" s="330">
        <f t="shared" si="6"/>
        <v>3740</v>
      </c>
      <c r="F39" s="330">
        <f t="shared" si="7"/>
        <v>3740</v>
      </c>
      <c r="G39" s="330">
        <f t="shared" si="8"/>
        <v>3740</v>
      </c>
      <c r="H39" s="335">
        <v>0</v>
      </c>
      <c r="I39" s="321">
        <v>3740</v>
      </c>
      <c r="J39" s="335">
        <v>0</v>
      </c>
      <c r="K39" s="335">
        <v>0</v>
      </c>
      <c r="L39" s="335"/>
      <c r="M39" s="335"/>
      <c r="N39" s="335"/>
      <c r="O39" s="335">
        <v>0</v>
      </c>
      <c r="P39" s="335"/>
      <c r="Q39" s="335"/>
      <c r="R39" s="335">
        <v>0</v>
      </c>
    </row>
    <row r="40" spans="1:18" ht="27" customHeight="1">
      <c r="A40" s="313"/>
      <c r="B40" s="312">
        <v>80146</v>
      </c>
      <c r="C40" s="319"/>
      <c r="D40" s="313" t="s">
        <v>299</v>
      </c>
      <c r="E40" s="314">
        <f aca="true" t="shared" si="9" ref="E40:R40">SUM(E41:E45)</f>
        <v>6694</v>
      </c>
      <c r="F40" s="314">
        <f t="shared" si="9"/>
        <v>6694</v>
      </c>
      <c r="G40" s="314">
        <f t="shared" si="9"/>
        <v>6694</v>
      </c>
      <c r="H40" s="314">
        <f t="shared" si="9"/>
        <v>0</v>
      </c>
      <c r="I40" s="314">
        <f t="shared" si="9"/>
        <v>6694</v>
      </c>
      <c r="J40" s="314">
        <f t="shared" si="9"/>
        <v>0</v>
      </c>
      <c r="K40" s="314">
        <f t="shared" si="9"/>
        <v>0</v>
      </c>
      <c r="L40" s="314">
        <f t="shared" si="9"/>
        <v>0</v>
      </c>
      <c r="M40" s="314">
        <f t="shared" si="9"/>
        <v>0</v>
      </c>
      <c r="N40" s="314">
        <f t="shared" si="9"/>
        <v>0</v>
      </c>
      <c r="O40" s="314">
        <f t="shared" si="9"/>
        <v>0</v>
      </c>
      <c r="P40" s="314">
        <f t="shared" si="9"/>
        <v>0</v>
      </c>
      <c r="Q40" s="314">
        <f t="shared" si="9"/>
        <v>0</v>
      </c>
      <c r="R40" s="314">
        <f t="shared" si="9"/>
        <v>0</v>
      </c>
    </row>
    <row r="41" spans="1:18" ht="17.25" customHeight="1">
      <c r="A41" s="313"/>
      <c r="B41" s="312"/>
      <c r="C41" s="316">
        <v>4210</v>
      </c>
      <c r="D41" s="317" t="s">
        <v>276</v>
      </c>
      <c r="E41" s="330">
        <f>F41+O41</f>
        <v>0</v>
      </c>
      <c r="F41" s="330">
        <f>G41+J41+K41+L41+M41+N41</f>
        <v>0</v>
      </c>
      <c r="G41" s="330">
        <f>H41+I41</f>
        <v>0</v>
      </c>
      <c r="H41" s="314"/>
      <c r="I41" s="321"/>
      <c r="J41" s="314"/>
      <c r="K41" s="314"/>
      <c r="L41" s="314"/>
      <c r="M41" s="314"/>
      <c r="N41" s="314"/>
      <c r="O41" s="314"/>
      <c r="P41" s="314"/>
      <c r="Q41" s="314"/>
      <c r="R41" s="314"/>
    </row>
    <row r="42" spans="1:18" ht="27" customHeight="1">
      <c r="A42" s="312"/>
      <c r="B42" s="312"/>
      <c r="C42" s="340">
        <v>4240</v>
      </c>
      <c r="D42" s="320" t="s">
        <v>277</v>
      </c>
      <c r="E42" s="330">
        <f>F42+O42</f>
        <v>594</v>
      </c>
      <c r="F42" s="330">
        <f>G42+J42+K42+L42+M42+N42</f>
        <v>594</v>
      </c>
      <c r="G42" s="330">
        <f>H42+I42</f>
        <v>594</v>
      </c>
      <c r="H42" s="321">
        <v>0</v>
      </c>
      <c r="I42" s="321">
        <v>594</v>
      </c>
      <c r="J42" s="321">
        <v>0</v>
      </c>
      <c r="K42" s="332">
        <v>0</v>
      </c>
      <c r="L42" s="321"/>
      <c r="M42" s="321"/>
      <c r="N42" s="321"/>
      <c r="O42" s="321">
        <v>0</v>
      </c>
      <c r="P42" s="321"/>
      <c r="Q42" s="321"/>
      <c r="R42" s="321">
        <v>0</v>
      </c>
    </row>
    <row r="43" spans="1:18" ht="17.25" customHeight="1">
      <c r="A43" s="319"/>
      <c r="B43" s="319"/>
      <c r="C43" s="319">
        <v>4300</v>
      </c>
      <c r="D43" s="320" t="s">
        <v>287</v>
      </c>
      <c r="E43" s="330">
        <f>F43+O43</f>
        <v>3200</v>
      </c>
      <c r="F43" s="330">
        <f>G43+J43+K43+L43+M43+N43</f>
        <v>3200</v>
      </c>
      <c r="G43" s="330">
        <f>H43+I43</f>
        <v>3200</v>
      </c>
      <c r="H43" s="321">
        <v>0</v>
      </c>
      <c r="I43" s="321">
        <v>3200</v>
      </c>
      <c r="J43" s="321">
        <v>0</v>
      </c>
      <c r="K43" s="332">
        <v>0</v>
      </c>
      <c r="L43" s="321"/>
      <c r="M43" s="321"/>
      <c r="N43" s="321"/>
      <c r="O43" s="321">
        <v>0</v>
      </c>
      <c r="P43" s="321"/>
      <c r="Q43" s="321"/>
      <c r="R43" s="321">
        <v>0</v>
      </c>
    </row>
    <row r="44" spans="1:18" ht="17.25" customHeight="1">
      <c r="A44" s="319"/>
      <c r="B44" s="319"/>
      <c r="C44" s="319">
        <v>4410</v>
      </c>
      <c r="D44" s="320" t="s">
        <v>290</v>
      </c>
      <c r="E44" s="330">
        <f>F44+O44</f>
        <v>1900</v>
      </c>
      <c r="F44" s="330">
        <f>G44+J44+K44+L44+M44+N44</f>
        <v>1900</v>
      </c>
      <c r="G44" s="330">
        <f>H44+I44</f>
        <v>1900</v>
      </c>
      <c r="H44" s="321">
        <v>0</v>
      </c>
      <c r="I44" s="321">
        <v>1900</v>
      </c>
      <c r="J44" s="321">
        <v>0</v>
      </c>
      <c r="K44" s="332">
        <v>0</v>
      </c>
      <c r="L44" s="321"/>
      <c r="M44" s="321"/>
      <c r="N44" s="321"/>
      <c r="O44" s="321">
        <v>0</v>
      </c>
      <c r="P44" s="321"/>
      <c r="Q44" s="321"/>
      <c r="R44" s="321">
        <v>0</v>
      </c>
    </row>
    <row r="45" spans="1:18" ht="38.25" customHeight="1">
      <c r="A45" s="319"/>
      <c r="B45" s="319"/>
      <c r="C45" s="319">
        <v>4700</v>
      </c>
      <c r="D45" s="333" t="s">
        <v>292</v>
      </c>
      <c r="E45" s="330">
        <f>F45+O45</f>
        <v>1000</v>
      </c>
      <c r="F45" s="330">
        <f>G45+J45+K45+L45+M45+N45</f>
        <v>1000</v>
      </c>
      <c r="G45" s="330">
        <f>H45+I45</f>
        <v>1000</v>
      </c>
      <c r="H45" s="321">
        <v>0</v>
      </c>
      <c r="I45" s="321">
        <v>1000</v>
      </c>
      <c r="J45" s="321">
        <v>0</v>
      </c>
      <c r="K45" s="332">
        <v>0</v>
      </c>
      <c r="L45" s="321"/>
      <c r="M45" s="321"/>
      <c r="N45" s="321"/>
      <c r="O45" s="321">
        <v>0</v>
      </c>
      <c r="P45" s="321"/>
      <c r="Q45" s="321"/>
      <c r="R45" s="321">
        <v>0</v>
      </c>
    </row>
    <row r="46" spans="1:18" ht="16.5" customHeight="1">
      <c r="A46" s="312"/>
      <c r="B46" s="312">
        <v>80195</v>
      </c>
      <c r="C46" s="319"/>
      <c r="D46" s="313" t="s">
        <v>30</v>
      </c>
      <c r="E46" s="314">
        <f aca="true" t="shared" si="10" ref="E46:R46">SUM(E47:E47)</f>
        <v>21804</v>
      </c>
      <c r="F46" s="314">
        <f t="shared" si="10"/>
        <v>21804</v>
      </c>
      <c r="G46" s="314">
        <f t="shared" si="10"/>
        <v>21804</v>
      </c>
      <c r="H46" s="314">
        <f t="shared" si="10"/>
        <v>0</v>
      </c>
      <c r="I46" s="314">
        <f t="shared" si="10"/>
        <v>21804</v>
      </c>
      <c r="J46" s="314">
        <f t="shared" si="10"/>
        <v>0</v>
      </c>
      <c r="K46" s="314">
        <f t="shared" si="10"/>
        <v>0</v>
      </c>
      <c r="L46" s="314">
        <f t="shared" si="10"/>
        <v>0</v>
      </c>
      <c r="M46" s="314">
        <f t="shared" si="10"/>
        <v>0</v>
      </c>
      <c r="N46" s="314">
        <f t="shared" si="10"/>
        <v>0</v>
      </c>
      <c r="O46" s="314">
        <f t="shared" si="10"/>
        <v>0</v>
      </c>
      <c r="P46" s="314">
        <f t="shared" si="10"/>
        <v>0</v>
      </c>
      <c r="Q46" s="314">
        <f t="shared" si="10"/>
        <v>0</v>
      </c>
      <c r="R46" s="314">
        <f t="shared" si="10"/>
        <v>0</v>
      </c>
    </row>
    <row r="47" spans="1:18" ht="27" customHeight="1">
      <c r="A47" s="312"/>
      <c r="B47" s="312"/>
      <c r="C47" s="319">
        <v>4440</v>
      </c>
      <c r="D47" s="320" t="s">
        <v>240</v>
      </c>
      <c r="E47" s="330">
        <f>F47+O47</f>
        <v>21804</v>
      </c>
      <c r="F47" s="330">
        <f>G47+J47+K47+L47+M47+N47</f>
        <v>21804</v>
      </c>
      <c r="G47" s="330">
        <f>H47+I47</f>
        <v>21804</v>
      </c>
      <c r="H47" s="321">
        <v>0</v>
      </c>
      <c r="I47" s="321">
        <v>21804</v>
      </c>
      <c r="J47" s="321">
        <v>0</v>
      </c>
      <c r="K47" s="321">
        <v>0</v>
      </c>
      <c r="L47" s="321"/>
      <c r="M47" s="321"/>
      <c r="N47" s="321"/>
      <c r="O47" s="321"/>
      <c r="P47" s="321"/>
      <c r="Q47" s="321"/>
      <c r="R47" s="321">
        <v>0</v>
      </c>
    </row>
    <row r="48" spans="1:18" ht="12.75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9" r:id="rId1"/>
  <headerFooter alignWithMargins="0">
    <oddHeader>&amp;R&amp;"Times New Roman,Normalny"&amp;12Załącznik Nr 16 do Uchwały  Nr III/12/2010 Rady Miejskiej w Barlinku z dnia 30 grudnia 2010</oddHeader>
    <oddFooter>&amp;C&amp;"Times New Roman,Normalny"&amp;12Strona &amp;P z &amp;N</oddFooter>
  </headerFooter>
  <rowBreaks count="1" manualBreakCount="1">
    <brk id="2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61"/>
  <sheetViews>
    <sheetView showGridLines="0" defaultGridColor="0" view="pageBreakPreview" zoomScaleSheetLayoutView="100" colorId="15" workbookViewId="0" topLeftCell="A1">
      <pane ySplit="6" topLeftCell="P42" activePane="bottomLeft" state="frozen"/>
      <selection pane="topLeft" activeCell="A1" sqref="A1"/>
      <selection pane="bottomLeft" activeCell="R61" sqref="R61"/>
    </sheetView>
  </sheetViews>
  <sheetFormatPr defaultColWidth="9.00390625" defaultRowHeight="12.75"/>
  <cols>
    <col min="1" max="1" width="5.00390625" style="342" customWidth="1"/>
    <col min="2" max="2" width="7.125" style="342" customWidth="1"/>
    <col min="3" max="3" width="6.125" style="342" customWidth="1"/>
    <col min="4" max="4" width="41.625" style="342" customWidth="1"/>
    <col min="5" max="5" width="11.375" style="342" customWidth="1"/>
    <col min="6" max="6" width="10.125" style="342" customWidth="1"/>
    <col min="7" max="7" width="11.625" style="342" customWidth="1"/>
    <col min="8" max="8" width="9.25390625" style="342" customWidth="1"/>
    <col min="9" max="9" width="11.625" style="342" customWidth="1"/>
    <col min="10" max="10" width="7.625" style="342" customWidth="1"/>
    <col min="11" max="11" width="8.75390625" style="342" customWidth="1"/>
    <col min="12" max="12" width="11.625" style="342" customWidth="1"/>
    <col min="13" max="13" width="7.625" style="342" customWidth="1"/>
    <col min="14" max="14" width="7.00390625" style="342" customWidth="1"/>
    <col min="15" max="15" width="8.125" style="342" customWidth="1"/>
    <col min="16" max="16" width="8.00390625" style="342" customWidth="1"/>
    <col min="17" max="17" width="9.75390625" style="342" customWidth="1"/>
    <col min="18" max="18" width="7.625" style="342" customWidth="1"/>
    <col min="19" max="16384" width="9.00390625" style="342" customWidth="1"/>
  </cols>
  <sheetData>
    <row r="1" spans="1:18" s="343" customFormat="1" ht="26.25" customHeight="1">
      <c r="A1" s="556" t="s">
        <v>414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</row>
    <row r="2" spans="1:18" s="343" customFormat="1" ht="31.5" customHeight="1">
      <c r="A2" s="536" t="s">
        <v>1</v>
      </c>
      <c r="B2" s="536" t="s">
        <v>21</v>
      </c>
      <c r="C2" s="536" t="s">
        <v>22</v>
      </c>
      <c r="D2" s="536" t="s">
        <v>186</v>
      </c>
      <c r="E2" s="536" t="s">
        <v>187</v>
      </c>
      <c r="F2" s="537" t="s">
        <v>188</v>
      </c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</row>
    <row r="3" spans="1:18" s="343" customFormat="1" ht="13.5" customHeight="1">
      <c r="A3" s="536"/>
      <c r="B3" s="536"/>
      <c r="C3" s="536"/>
      <c r="D3" s="536"/>
      <c r="E3" s="536"/>
      <c r="F3" s="538" t="s">
        <v>177</v>
      </c>
      <c r="G3" s="539" t="s">
        <v>25</v>
      </c>
      <c r="H3" s="539"/>
      <c r="I3" s="539"/>
      <c r="J3" s="539"/>
      <c r="K3" s="539"/>
      <c r="L3" s="539"/>
      <c r="M3" s="539"/>
      <c r="N3" s="539"/>
      <c r="O3" s="540" t="s">
        <v>189</v>
      </c>
      <c r="P3" s="539" t="s">
        <v>25</v>
      </c>
      <c r="Q3" s="539"/>
      <c r="R3" s="539"/>
    </row>
    <row r="4" spans="1:18" s="344" customFormat="1" ht="13.5" customHeight="1">
      <c r="A4" s="536"/>
      <c r="B4" s="536"/>
      <c r="C4" s="536"/>
      <c r="D4" s="536"/>
      <c r="E4" s="536"/>
      <c r="F4" s="538"/>
      <c r="G4" s="538" t="s">
        <v>190</v>
      </c>
      <c r="H4" s="539" t="s">
        <v>191</v>
      </c>
      <c r="I4" s="539"/>
      <c r="J4" s="542" t="s">
        <v>192</v>
      </c>
      <c r="K4" s="542" t="s">
        <v>193</v>
      </c>
      <c r="L4" s="542" t="s">
        <v>200</v>
      </c>
      <c r="M4" s="542" t="s">
        <v>194</v>
      </c>
      <c r="N4" s="542" t="s">
        <v>195</v>
      </c>
      <c r="O4" s="540"/>
      <c r="P4" s="542" t="s">
        <v>196</v>
      </c>
      <c r="Q4" s="233" t="s">
        <v>25</v>
      </c>
      <c r="R4" s="542" t="s">
        <v>197</v>
      </c>
    </row>
    <row r="5" spans="1:18" s="344" customFormat="1" ht="87" customHeight="1">
      <c r="A5" s="536"/>
      <c r="B5" s="536"/>
      <c r="C5" s="536"/>
      <c r="D5" s="536"/>
      <c r="E5" s="536"/>
      <c r="F5" s="538"/>
      <c r="G5" s="538"/>
      <c r="H5" s="138" t="s">
        <v>198</v>
      </c>
      <c r="I5" s="232" t="s">
        <v>199</v>
      </c>
      <c r="J5" s="542"/>
      <c r="K5" s="542"/>
      <c r="L5" s="542"/>
      <c r="M5" s="542"/>
      <c r="N5" s="542"/>
      <c r="O5" s="540"/>
      <c r="P5" s="542"/>
      <c r="Q5" s="234" t="s">
        <v>200</v>
      </c>
      <c r="R5" s="542"/>
    </row>
    <row r="6" spans="1:18" s="344" customFormat="1" ht="12.75">
      <c r="A6" s="345">
        <v>1</v>
      </c>
      <c r="B6" s="345">
        <v>2</v>
      </c>
      <c r="C6" s="345">
        <v>3</v>
      </c>
      <c r="D6" s="345">
        <v>4</v>
      </c>
      <c r="E6" s="345">
        <v>5</v>
      </c>
      <c r="F6" s="345">
        <v>6</v>
      </c>
      <c r="G6" s="345">
        <v>7</v>
      </c>
      <c r="H6" s="345">
        <v>8</v>
      </c>
      <c r="I6" s="345">
        <v>9</v>
      </c>
      <c r="J6" s="345">
        <v>10</v>
      </c>
      <c r="K6" s="345">
        <v>11</v>
      </c>
      <c r="L6" s="345">
        <v>12</v>
      </c>
      <c r="M6" s="345">
        <v>13</v>
      </c>
      <c r="N6" s="345">
        <v>14</v>
      </c>
      <c r="O6" s="345">
        <v>15</v>
      </c>
      <c r="P6" s="345">
        <v>16</v>
      </c>
      <c r="Q6" s="345">
        <v>17</v>
      </c>
      <c r="R6" s="345">
        <v>18</v>
      </c>
    </row>
    <row r="7" spans="1:18" s="343" customFormat="1" ht="16.5" customHeight="1">
      <c r="A7" s="310">
        <v>801</v>
      </c>
      <c r="B7" s="310"/>
      <c r="C7" s="310"/>
      <c r="D7" s="310" t="s">
        <v>115</v>
      </c>
      <c r="E7" s="311">
        <f>E8+E30+E46+E60+E40</f>
        <v>1054360</v>
      </c>
      <c r="F7" s="311">
        <f aca="true" t="shared" si="0" ref="F7:R7">F9+F30+F46+F60+F40</f>
        <v>180836</v>
      </c>
      <c r="G7" s="311">
        <f t="shared" si="0"/>
        <v>141177</v>
      </c>
      <c r="H7" s="311">
        <f t="shared" si="0"/>
        <v>70434</v>
      </c>
      <c r="I7" s="311">
        <f t="shared" si="0"/>
        <v>70743</v>
      </c>
      <c r="J7" s="311">
        <f t="shared" si="0"/>
        <v>0</v>
      </c>
      <c r="K7" s="311">
        <f t="shared" si="0"/>
        <v>39659</v>
      </c>
      <c r="L7" s="311">
        <f t="shared" si="0"/>
        <v>0</v>
      </c>
      <c r="M7" s="311">
        <f t="shared" si="0"/>
        <v>0</v>
      </c>
      <c r="N7" s="311">
        <f t="shared" si="0"/>
        <v>0</v>
      </c>
      <c r="O7" s="311">
        <f t="shared" si="0"/>
        <v>0</v>
      </c>
      <c r="P7" s="311">
        <f t="shared" si="0"/>
        <v>0</v>
      </c>
      <c r="Q7" s="311">
        <f t="shared" si="0"/>
        <v>0</v>
      </c>
      <c r="R7" s="311">
        <f t="shared" si="0"/>
        <v>0</v>
      </c>
    </row>
    <row r="8" spans="1:18" s="346" customFormat="1" ht="18" customHeight="1">
      <c r="A8" s="312"/>
      <c r="B8" s="312">
        <v>80101</v>
      </c>
      <c r="C8" s="312"/>
      <c r="D8" s="313" t="s">
        <v>116</v>
      </c>
      <c r="E8" s="314">
        <f aca="true" t="shared" si="1" ref="E8:R8">SUM(E9:E29)</f>
        <v>910072</v>
      </c>
      <c r="F8" s="314">
        <f t="shared" si="1"/>
        <v>910072</v>
      </c>
      <c r="G8" s="314">
        <f t="shared" si="1"/>
        <v>873524</v>
      </c>
      <c r="H8" s="314">
        <f t="shared" si="1"/>
        <v>705609</v>
      </c>
      <c r="I8" s="314">
        <f t="shared" si="1"/>
        <v>167915</v>
      </c>
      <c r="J8" s="314">
        <f t="shared" si="1"/>
        <v>0</v>
      </c>
      <c r="K8" s="314">
        <f t="shared" si="1"/>
        <v>36548</v>
      </c>
      <c r="L8" s="314">
        <f t="shared" si="1"/>
        <v>0</v>
      </c>
      <c r="M8" s="314">
        <f t="shared" si="1"/>
        <v>0</v>
      </c>
      <c r="N8" s="314">
        <f t="shared" si="1"/>
        <v>0</v>
      </c>
      <c r="O8" s="314">
        <f t="shared" si="1"/>
        <v>0</v>
      </c>
      <c r="P8" s="314">
        <f t="shared" si="1"/>
        <v>0</v>
      </c>
      <c r="Q8" s="314">
        <f t="shared" si="1"/>
        <v>0</v>
      </c>
      <c r="R8" s="314">
        <f t="shared" si="1"/>
        <v>0</v>
      </c>
    </row>
    <row r="9" spans="1:18" s="346" customFormat="1" ht="18" customHeight="1">
      <c r="A9" s="347"/>
      <c r="B9" s="347"/>
      <c r="C9" s="340">
        <v>3020</v>
      </c>
      <c r="D9" s="320" t="s">
        <v>407</v>
      </c>
      <c r="E9" s="318">
        <f aca="true" t="shared" si="2" ref="E9:E29">F9+O9</f>
        <v>36548</v>
      </c>
      <c r="F9" s="348">
        <f>G9+J9+K9+L9+M9+N9</f>
        <v>36548</v>
      </c>
      <c r="G9" s="348"/>
      <c r="H9" s="348"/>
      <c r="I9" s="348"/>
      <c r="J9" s="348">
        <v>0</v>
      </c>
      <c r="K9" s="348">
        <v>36548</v>
      </c>
      <c r="L9" s="348"/>
      <c r="M9" s="348"/>
      <c r="N9" s="349"/>
      <c r="O9" s="349"/>
      <c r="P9" s="349"/>
      <c r="Q9" s="349"/>
      <c r="R9" s="349"/>
    </row>
    <row r="10" spans="1:18" s="346" customFormat="1" ht="18" customHeight="1">
      <c r="A10" s="347"/>
      <c r="B10" s="347"/>
      <c r="C10" s="340">
        <v>3240</v>
      </c>
      <c r="D10" s="320" t="s">
        <v>294</v>
      </c>
      <c r="E10" s="318">
        <f t="shared" si="2"/>
        <v>0</v>
      </c>
      <c r="F10" s="348"/>
      <c r="G10" s="348"/>
      <c r="H10" s="348"/>
      <c r="I10" s="348"/>
      <c r="J10" s="348"/>
      <c r="K10" s="348"/>
      <c r="L10" s="348"/>
      <c r="M10" s="349"/>
      <c r="N10" s="349"/>
      <c r="O10" s="349"/>
      <c r="P10" s="349"/>
      <c r="Q10" s="349"/>
      <c r="R10" s="349"/>
    </row>
    <row r="11" spans="1:18" s="346" customFormat="1" ht="18" customHeight="1">
      <c r="A11" s="347"/>
      <c r="B11" s="347"/>
      <c r="C11" s="340">
        <v>4010</v>
      </c>
      <c r="D11" s="320" t="s">
        <v>265</v>
      </c>
      <c r="E11" s="318">
        <f t="shared" si="2"/>
        <v>518968</v>
      </c>
      <c r="F11" s="348">
        <f aca="true" t="shared" si="3" ref="F11:F29">G11+J11+K11+L11+M11+N11</f>
        <v>518968</v>
      </c>
      <c r="G11" s="348">
        <f aca="true" t="shared" si="4" ref="G11:G29">H11+I11</f>
        <v>518968</v>
      </c>
      <c r="H11" s="348">
        <f>(85503+1500+12897+2972)+(284076+55625+49437+5400+600+7200+2469+11289)</f>
        <v>518968</v>
      </c>
      <c r="I11" s="348"/>
      <c r="J11" s="348"/>
      <c r="K11" s="348"/>
      <c r="L11" s="348"/>
      <c r="M11" s="349"/>
      <c r="N11" s="349"/>
      <c r="O11" s="349"/>
      <c r="P11" s="349"/>
      <c r="Q11" s="349"/>
      <c r="R11" s="349"/>
    </row>
    <row r="12" spans="1:18" s="346" customFormat="1" ht="18" customHeight="1">
      <c r="A12" s="347"/>
      <c r="B12" s="347"/>
      <c r="C12" s="340">
        <v>4040</v>
      </c>
      <c r="D12" s="320" t="s">
        <v>415</v>
      </c>
      <c r="E12" s="318">
        <f t="shared" si="2"/>
        <v>44011</v>
      </c>
      <c r="F12" s="348">
        <f t="shared" si="3"/>
        <v>44011</v>
      </c>
      <c r="G12" s="348">
        <f t="shared" si="4"/>
        <v>44011</v>
      </c>
      <c r="H12" s="348">
        <v>44011</v>
      </c>
      <c r="I12" s="348"/>
      <c r="J12" s="348"/>
      <c r="K12" s="348"/>
      <c r="L12" s="348"/>
      <c r="M12" s="349"/>
      <c r="N12" s="349"/>
      <c r="O12" s="349"/>
      <c r="P12" s="349"/>
      <c r="Q12" s="349"/>
      <c r="R12" s="349"/>
    </row>
    <row r="13" spans="1:18" s="346" customFormat="1" ht="18" customHeight="1">
      <c r="A13" s="347"/>
      <c r="B13" s="347"/>
      <c r="C13" s="340">
        <v>4110</v>
      </c>
      <c r="D13" s="320" t="s">
        <v>284</v>
      </c>
      <c r="E13" s="318">
        <f t="shared" si="2"/>
        <v>93192</v>
      </c>
      <c r="F13" s="348">
        <f t="shared" si="3"/>
        <v>93192</v>
      </c>
      <c r="G13" s="348">
        <f t="shared" si="4"/>
        <v>93192</v>
      </c>
      <c r="H13" s="348">
        <v>93192</v>
      </c>
      <c r="I13" s="348"/>
      <c r="J13" s="348"/>
      <c r="K13" s="348"/>
      <c r="L13" s="348"/>
      <c r="M13" s="349"/>
      <c r="N13" s="349"/>
      <c r="O13" s="349"/>
      <c r="P13" s="349"/>
      <c r="Q13" s="349"/>
      <c r="R13" s="349"/>
    </row>
    <row r="14" spans="1:18" s="346" customFormat="1" ht="18" customHeight="1">
      <c r="A14" s="347"/>
      <c r="B14" s="347"/>
      <c r="C14" s="340">
        <v>4120</v>
      </c>
      <c r="D14" s="320" t="s">
        <v>285</v>
      </c>
      <c r="E14" s="318">
        <f t="shared" si="2"/>
        <v>20638</v>
      </c>
      <c r="F14" s="348">
        <f t="shared" si="3"/>
        <v>20638</v>
      </c>
      <c r="G14" s="348">
        <f t="shared" si="4"/>
        <v>20638</v>
      </c>
      <c r="H14" s="348">
        <v>20638</v>
      </c>
      <c r="I14" s="348"/>
      <c r="J14" s="348"/>
      <c r="K14" s="348"/>
      <c r="L14" s="348"/>
      <c r="M14" s="349"/>
      <c r="N14" s="349"/>
      <c r="O14" s="349"/>
      <c r="P14" s="349"/>
      <c r="Q14" s="349"/>
      <c r="R14" s="349"/>
    </row>
    <row r="15" spans="1:18" s="346" customFormat="1" ht="18" customHeight="1">
      <c r="A15" s="347"/>
      <c r="B15" s="347"/>
      <c r="C15" s="340">
        <v>4170</v>
      </c>
      <c r="D15" s="320" t="s">
        <v>303</v>
      </c>
      <c r="E15" s="318">
        <f t="shared" si="2"/>
        <v>28800</v>
      </c>
      <c r="F15" s="348">
        <f t="shared" si="3"/>
        <v>28800</v>
      </c>
      <c r="G15" s="348">
        <f t="shared" si="4"/>
        <v>28800</v>
      </c>
      <c r="H15" s="348">
        <v>28800</v>
      </c>
      <c r="I15" s="348"/>
      <c r="J15" s="348"/>
      <c r="K15" s="348"/>
      <c r="L15" s="348"/>
      <c r="M15" s="349"/>
      <c r="N15" s="349"/>
      <c r="O15" s="349"/>
      <c r="P15" s="349"/>
      <c r="Q15" s="349"/>
      <c r="R15" s="349"/>
    </row>
    <row r="16" spans="1:18" s="346" customFormat="1" ht="18" customHeight="1">
      <c r="A16" s="347"/>
      <c r="B16" s="347"/>
      <c r="C16" s="340">
        <v>4210</v>
      </c>
      <c r="D16" s="320" t="s">
        <v>276</v>
      </c>
      <c r="E16" s="318">
        <f t="shared" si="2"/>
        <v>5000</v>
      </c>
      <c r="F16" s="348">
        <f t="shared" si="3"/>
        <v>5000</v>
      </c>
      <c r="G16" s="348">
        <f t="shared" si="4"/>
        <v>5000</v>
      </c>
      <c r="H16" s="348"/>
      <c r="I16" s="348">
        <v>5000</v>
      </c>
      <c r="J16" s="348"/>
      <c r="K16" s="348"/>
      <c r="L16" s="348"/>
      <c r="M16" s="349"/>
      <c r="N16" s="349"/>
      <c r="O16" s="349"/>
      <c r="P16" s="349"/>
      <c r="Q16" s="349"/>
      <c r="R16" s="349"/>
    </row>
    <row r="17" spans="1:18" s="346" customFormat="1" ht="18" customHeight="1">
      <c r="A17" s="347"/>
      <c r="B17" s="347"/>
      <c r="C17" s="340">
        <v>4240</v>
      </c>
      <c r="D17" s="320" t="s">
        <v>277</v>
      </c>
      <c r="E17" s="318">
        <f t="shared" si="2"/>
        <v>5000</v>
      </c>
      <c r="F17" s="348">
        <f t="shared" si="3"/>
        <v>5000</v>
      </c>
      <c r="G17" s="348">
        <f t="shared" si="4"/>
        <v>5000</v>
      </c>
      <c r="H17" s="348"/>
      <c r="I17" s="348">
        <v>5000</v>
      </c>
      <c r="J17" s="348"/>
      <c r="K17" s="348"/>
      <c r="L17" s="348"/>
      <c r="M17" s="349"/>
      <c r="N17" s="349"/>
      <c r="O17" s="349"/>
      <c r="P17" s="349"/>
      <c r="Q17" s="349"/>
      <c r="R17" s="349"/>
    </row>
    <row r="18" spans="1:18" s="346" customFormat="1" ht="18" customHeight="1">
      <c r="A18" s="347"/>
      <c r="B18" s="347"/>
      <c r="C18" s="340">
        <v>4260</v>
      </c>
      <c r="D18" s="320" t="s">
        <v>286</v>
      </c>
      <c r="E18" s="318">
        <f t="shared" si="2"/>
        <v>90000</v>
      </c>
      <c r="F18" s="348">
        <f t="shared" si="3"/>
        <v>90000</v>
      </c>
      <c r="G18" s="348">
        <f t="shared" si="4"/>
        <v>90000</v>
      </c>
      <c r="H18" s="348"/>
      <c r="I18" s="348">
        <v>90000</v>
      </c>
      <c r="J18" s="348"/>
      <c r="K18" s="348"/>
      <c r="L18" s="348"/>
      <c r="M18" s="349"/>
      <c r="N18" s="349"/>
      <c r="O18" s="349"/>
      <c r="P18" s="349"/>
      <c r="Q18" s="349"/>
      <c r="R18" s="349"/>
    </row>
    <row r="19" spans="1:18" s="346" customFormat="1" ht="18" customHeight="1">
      <c r="A19" s="347"/>
      <c r="B19" s="347"/>
      <c r="C19" s="340">
        <v>4270</v>
      </c>
      <c r="D19" s="320" t="s">
        <v>231</v>
      </c>
      <c r="E19" s="318">
        <f t="shared" si="2"/>
        <v>10000</v>
      </c>
      <c r="F19" s="348">
        <f t="shared" si="3"/>
        <v>10000</v>
      </c>
      <c r="G19" s="348">
        <f t="shared" si="4"/>
        <v>10000</v>
      </c>
      <c r="H19" s="348"/>
      <c r="I19" s="348">
        <v>10000</v>
      </c>
      <c r="J19" s="348"/>
      <c r="K19" s="348"/>
      <c r="L19" s="348"/>
      <c r="M19" s="349"/>
      <c r="N19" s="349"/>
      <c r="O19" s="349"/>
      <c r="P19" s="349"/>
      <c r="Q19" s="349"/>
      <c r="R19" s="349"/>
    </row>
    <row r="20" spans="1:18" s="346" customFormat="1" ht="18" customHeight="1">
      <c r="A20" s="347"/>
      <c r="B20" s="347"/>
      <c r="C20" s="340">
        <v>4280</v>
      </c>
      <c r="D20" s="320" t="s">
        <v>278</v>
      </c>
      <c r="E20" s="318">
        <f t="shared" si="2"/>
        <v>500</v>
      </c>
      <c r="F20" s="348">
        <f t="shared" si="3"/>
        <v>500</v>
      </c>
      <c r="G20" s="348">
        <f t="shared" si="4"/>
        <v>500</v>
      </c>
      <c r="H20" s="348"/>
      <c r="I20" s="348">
        <v>500</v>
      </c>
      <c r="J20" s="348"/>
      <c r="K20" s="348"/>
      <c r="L20" s="348"/>
      <c r="M20" s="349"/>
      <c r="N20" s="349"/>
      <c r="O20" s="349"/>
      <c r="P20" s="349"/>
      <c r="Q20" s="349"/>
      <c r="R20" s="349"/>
    </row>
    <row r="21" spans="1:18" s="346" customFormat="1" ht="18" customHeight="1">
      <c r="A21" s="347"/>
      <c r="B21" s="347"/>
      <c r="C21" s="340">
        <v>4300</v>
      </c>
      <c r="D21" s="320" t="s">
        <v>287</v>
      </c>
      <c r="E21" s="318">
        <f t="shared" si="2"/>
        <v>20125</v>
      </c>
      <c r="F21" s="348">
        <f t="shared" si="3"/>
        <v>20125</v>
      </c>
      <c r="G21" s="348">
        <f t="shared" si="4"/>
        <v>20125</v>
      </c>
      <c r="H21" s="348"/>
      <c r="I21" s="348">
        <v>20125</v>
      </c>
      <c r="J21" s="348"/>
      <c r="K21" s="348"/>
      <c r="L21" s="348"/>
      <c r="M21" s="349"/>
      <c r="N21" s="349"/>
      <c r="O21" s="349"/>
      <c r="P21" s="349"/>
      <c r="Q21" s="349"/>
      <c r="R21" s="349"/>
    </row>
    <row r="22" spans="1:18" s="346" customFormat="1" ht="18" customHeight="1">
      <c r="A22" s="347"/>
      <c r="B22" s="347"/>
      <c r="C22" s="340">
        <v>4350</v>
      </c>
      <c r="D22" s="320" t="s">
        <v>416</v>
      </c>
      <c r="E22" s="318">
        <f t="shared" si="2"/>
        <v>500</v>
      </c>
      <c r="F22" s="348">
        <f t="shared" si="3"/>
        <v>500</v>
      </c>
      <c r="G22" s="348">
        <f t="shared" si="4"/>
        <v>500</v>
      </c>
      <c r="H22" s="348"/>
      <c r="I22" s="348">
        <v>500</v>
      </c>
      <c r="J22" s="348"/>
      <c r="K22" s="348"/>
      <c r="L22" s="348"/>
      <c r="M22" s="349"/>
      <c r="N22" s="349"/>
      <c r="O22" s="349"/>
      <c r="P22" s="349"/>
      <c r="Q22" s="349"/>
      <c r="R22" s="349"/>
    </row>
    <row r="23" spans="1:18" s="346" customFormat="1" ht="27" customHeight="1">
      <c r="A23" s="347"/>
      <c r="B23" s="347"/>
      <c r="C23" s="340">
        <v>4370</v>
      </c>
      <c r="D23" s="320" t="s">
        <v>409</v>
      </c>
      <c r="E23" s="318">
        <f t="shared" si="2"/>
        <v>2100</v>
      </c>
      <c r="F23" s="348">
        <f t="shared" si="3"/>
        <v>2100</v>
      </c>
      <c r="G23" s="348">
        <f t="shared" si="4"/>
        <v>2100</v>
      </c>
      <c r="H23" s="350"/>
      <c r="I23" s="348">
        <v>2100</v>
      </c>
      <c r="J23" s="330"/>
      <c r="K23" s="348"/>
      <c r="L23" s="330"/>
      <c r="M23" s="351"/>
      <c r="N23" s="351"/>
      <c r="O23" s="349"/>
      <c r="P23" s="351"/>
      <c r="Q23" s="351"/>
      <c r="R23" s="351"/>
    </row>
    <row r="24" spans="1:18" s="346" customFormat="1" ht="18" customHeight="1">
      <c r="A24" s="347"/>
      <c r="B24" s="347"/>
      <c r="C24" s="340">
        <v>4410</v>
      </c>
      <c r="D24" s="320" t="s">
        <v>290</v>
      </c>
      <c r="E24" s="318">
        <f t="shared" si="2"/>
        <v>1000</v>
      </c>
      <c r="F24" s="348">
        <f t="shared" si="3"/>
        <v>1000</v>
      </c>
      <c r="G24" s="348">
        <f t="shared" si="4"/>
        <v>1000</v>
      </c>
      <c r="H24" s="348"/>
      <c r="I24" s="348">
        <v>1000</v>
      </c>
      <c r="J24" s="348"/>
      <c r="K24" s="330"/>
      <c r="L24" s="348"/>
      <c r="M24" s="349"/>
      <c r="N24" s="349"/>
      <c r="O24" s="349"/>
      <c r="P24" s="349"/>
      <c r="Q24" s="349"/>
      <c r="R24" s="349"/>
    </row>
    <row r="25" spans="1:18" s="346" customFormat="1" ht="18" customHeight="1">
      <c r="A25" s="347"/>
      <c r="B25" s="347"/>
      <c r="C25" s="340">
        <v>4430</v>
      </c>
      <c r="D25" s="320" t="s">
        <v>291</v>
      </c>
      <c r="E25" s="318">
        <f t="shared" si="2"/>
        <v>2500</v>
      </c>
      <c r="F25" s="348">
        <f t="shared" si="3"/>
        <v>2500</v>
      </c>
      <c r="G25" s="348">
        <f t="shared" si="4"/>
        <v>2500</v>
      </c>
      <c r="H25" s="348"/>
      <c r="I25" s="348">
        <v>2500</v>
      </c>
      <c r="J25" s="348"/>
      <c r="K25" s="330"/>
      <c r="L25" s="348"/>
      <c r="M25" s="349"/>
      <c r="N25" s="349"/>
      <c r="O25" s="349"/>
      <c r="P25" s="349"/>
      <c r="Q25" s="349"/>
      <c r="R25" s="349"/>
    </row>
    <row r="26" spans="1:18" s="346" customFormat="1" ht="18" customHeight="1">
      <c r="A26" s="347"/>
      <c r="B26" s="347"/>
      <c r="C26" s="340">
        <v>4440</v>
      </c>
      <c r="D26" s="320" t="s">
        <v>279</v>
      </c>
      <c r="E26" s="318">
        <f t="shared" si="2"/>
        <v>30190</v>
      </c>
      <c r="F26" s="348">
        <f t="shared" si="3"/>
        <v>30190</v>
      </c>
      <c r="G26" s="348">
        <f t="shared" si="4"/>
        <v>30190</v>
      </c>
      <c r="H26" s="348"/>
      <c r="I26" s="348">
        <v>30190</v>
      </c>
      <c r="J26" s="348"/>
      <c r="K26" s="348"/>
      <c r="L26" s="348"/>
      <c r="M26" s="349"/>
      <c r="N26" s="349"/>
      <c r="O26" s="349"/>
      <c r="P26" s="349"/>
      <c r="Q26" s="349"/>
      <c r="R26" s="349"/>
    </row>
    <row r="27" spans="1:18" s="346" customFormat="1" ht="18" customHeight="1">
      <c r="A27" s="315"/>
      <c r="B27" s="315"/>
      <c r="C27" s="316">
        <v>4480</v>
      </c>
      <c r="D27" s="317" t="s">
        <v>272</v>
      </c>
      <c r="E27" s="318">
        <f t="shared" si="2"/>
        <v>0</v>
      </c>
      <c r="F27" s="318">
        <f t="shared" si="3"/>
        <v>0</v>
      </c>
      <c r="G27" s="318">
        <f t="shared" si="4"/>
        <v>0</v>
      </c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</row>
    <row r="28" spans="1:18" s="346" customFormat="1" ht="27" customHeight="1">
      <c r="A28" s="352"/>
      <c r="B28" s="352"/>
      <c r="C28" s="353">
        <v>4700</v>
      </c>
      <c r="D28" s="333" t="s">
        <v>292</v>
      </c>
      <c r="E28" s="318">
        <f t="shared" si="2"/>
        <v>1000</v>
      </c>
      <c r="F28" s="348">
        <f t="shared" si="3"/>
        <v>1000</v>
      </c>
      <c r="G28" s="348">
        <f t="shared" si="4"/>
        <v>1000</v>
      </c>
      <c r="H28" s="348"/>
      <c r="I28" s="348">
        <v>1000</v>
      </c>
      <c r="J28" s="348"/>
      <c r="K28" s="348"/>
      <c r="L28" s="348"/>
      <c r="M28" s="349"/>
      <c r="N28" s="349"/>
      <c r="O28" s="349"/>
      <c r="P28" s="349"/>
      <c r="Q28" s="349"/>
      <c r="R28" s="349"/>
    </row>
    <row r="29" spans="1:18" s="346" customFormat="1" ht="18" customHeight="1">
      <c r="A29" s="319"/>
      <c r="B29" s="319"/>
      <c r="C29" s="319">
        <v>6050</v>
      </c>
      <c r="D29" s="320" t="s">
        <v>375</v>
      </c>
      <c r="E29" s="318">
        <f t="shared" si="2"/>
        <v>0</v>
      </c>
      <c r="F29" s="318">
        <f t="shared" si="3"/>
        <v>0</v>
      </c>
      <c r="G29" s="318">
        <f t="shared" si="4"/>
        <v>0</v>
      </c>
      <c r="H29" s="321">
        <v>0</v>
      </c>
      <c r="I29" s="321">
        <v>0</v>
      </c>
      <c r="J29" s="321">
        <v>0</v>
      </c>
      <c r="K29" s="321">
        <v>0</v>
      </c>
      <c r="L29" s="321"/>
      <c r="M29" s="321"/>
      <c r="N29" s="321"/>
      <c r="O29" s="321"/>
      <c r="P29" s="321"/>
      <c r="Q29" s="321"/>
      <c r="R29" s="321">
        <v>0</v>
      </c>
    </row>
    <row r="30" spans="1:18" s="346" customFormat="1" ht="18" customHeight="1">
      <c r="A30" s="312"/>
      <c r="B30" s="312">
        <v>80103</v>
      </c>
      <c r="C30" s="319"/>
      <c r="D30" s="313" t="s">
        <v>274</v>
      </c>
      <c r="E30" s="314">
        <f aca="true" t="shared" si="5" ref="E30:R30">SUM(E31:E39)</f>
        <v>55968</v>
      </c>
      <c r="F30" s="314">
        <f t="shared" si="5"/>
        <v>55968</v>
      </c>
      <c r="G30" s="314">
        <f t="shared" si="5"/>
        <v>52857</v>
      </c>
      <c r="H30" s="314">
        <f t="shared" si="5"/>
        <v>46901</v>
      </c>
      <c r="I30" s="314">
        <f t="shared" si="5"/>
        <v>5956</v>
      </c>
      <c r="J30" s="314">
        <f t="shared" si="5"/>
        <v>0</v>
      </c>
      <c r="K30" s="314">
        <f t="shared" si="5"/>
        <v>3111</v>
      </c>
      <c r="L30" s="314">
        <f t="shared" si="5"/>
        <v>0</v>
      </c>
      <c r="M30" s="314">
        <f t="shared" si="5"/>
        <v>0</v>
      </c>
      <c r="N30" s="314">
        <f t="shared" si="5"/>
        <v>0</v>
      </c>
      <c r="O30" s="314">
        <f t="shared" si="5"/>
        <v>0</v>
      </c>
      <c r="P30" s="314">
        <f t="shared" si="5"/>
        <v>0</v>
      </c>
      <c r="Q30" s="314">
        <f t="shared" si="5"/>
        <v>0</v>
      </c>
      <c r="R30" s="314">
        <f t="shared" si="5"/>
        <v>0</v>
      </c>
    </row>
    <row r="31" spans="1:18" s="346" customFormat="1" ht="18" customHeight="1">
      <c r="A31" s="347"/>
      <c r="B31" s="347"/>
      <c r="C31" s="340">
        <v>3020</v>
      </c>
      <c r="D31" s="320" t="s">
        <v>407</v>
      </c>
      <c r="E31" s="318">
        <f aca="true" t="shared" si="6" ref="E31:E39">F31+O31</f>
        <v>3111</v>
      </c>
      <c r="F31" s="348">
        <f aca="true" t="shared" si="7" ref="F31:F39">G31+J31+K31+L31+M31+N31</f>
        <v>3111</v>
      </c>
      <c r="G31" s="348">
        <f aca="true" t="shared" si="8" ref="G31:G39">H31+I31</f>
        <v>0</v>
      </c>
      <c r="H31" s="348">
        <v>0</v>
      </c>
      <c r="I31" s="348"/>
      <c r="J31" s="348"/>
      <c r="K31" s="348">
        <v>3111</v>
      </c>
      <c r="L31" s="348"/>
      <c r="M31" s="348"/>
      <c r="N31" s="349"/>
      <c r="O31" s="349"/>
      <c r="P31" s="349"/>
      <c r="Q31" s="349"/>
      <c r="R31" s="348"/>
    </row>
    <row r="32" spans="1:18" s="346" customFormat="1" ht="18" customHeight="1">
      <c r="A32" s="347"/>
      <c r="B32" s="347"/>
      <c r="C32" s="340">
        <v>4010</v>
      </c>
      <c r="D32" s="320" t="s">
        <v>265</v>
      </c>
      <c r="E32" s="318">
        <f t="shared" si="6"/>
        <v>36880</v>
      </c>
      <c r="F32" s="348">
        <f t="shared" si="7"/>
        <v>36880</v>
      </c>
      <c r="G32" s="348">
        <f t="shared" si="8"/>
        <v>36880</v>
      </c>
      <c r="H32" s="348">
        <f>(27116+3536+1788+240+4200)</f>
        <v>36880</v>
      </c>
      <c r="I32" s="348"/>
      <c r="J32" s="348"/>
      <c r="K32" s="348"/>
      <c r="L32" s="348"/>
      <c r="M32" s="348"/>
      <c r="N32" s="349"/>
      <c r="O32" s="349"/>
      <c r="P32" s="349"/>
      <c r="Q32" s="349"/>
      <c r="R32" s="348"/>
    </row>
    <row r="33" spans="1:18" s="346" customFormat="1" ht="18" customHeight="1">
      <c r="A33" s="347"/>
      <c r="B33" s="347"/>
      <c r="C33" s="340">
        <v>4040</v>
      </c>
      <c r="D33" s="320" t="s">
        <v>415</v>
      </c>
      <c r="E33" s="318">
        <f t="shared" si="6"/>
        <v>2645</v>
      </c>
      <c r="F33" s="348">
        <f t="shared" si="7"/>
        <v>2645</v>
      </c>
      <c r="G33" s="348">
        <f t="shared" si="8"/>
        <v>2645</v>
      </c>
      <c r="H33" s="348">
        <v>2645</v>
      </c>
      <c r="I33" s="348"/>
      <c r="J33" s="348"/>
      <c r="K33" s="348"/>
      <c r="L33" s="348"/>
      <c r="M33" s="348"/>
      <c r="N33" s="349"/>
      <c r="O33" s="349"/>
      <c r="P33" s="349"/>
      <c r="Q33" s="349"/>
      <c r="R33" s="348"/>
    </row>
    <row r="34" spans="1:18" s="346" customFormat="1" ht="18" customHeight="1">
      <c r="A34" s="347"/>
      <c r="B34" s="347"/>
      <c r="C34" s="340">
        <v>4110</v>
      </c>
      <c r="D34" s="320" t="s">
        <v>284</v>
      </c>
      <c r="E34" s="318">
        <f t="shared" si="6"/>
        <v>6351</v>
      </c>
      <c r="F34" s="348">
        <f t="shared" si="7"/>
        <v>6351</v>
      </c>
      <c r="G34" s="348">
        <f t="shared" si="8"/>
        <v>6351</v>
      </c>
      <c r="H34" s="348">
        <v>6351</v>
      </c>
      <c r="I34" s="348"/>
      <c r="J34" s="348"/>
      <c r="K34" s="348"/>
      <c r="L34" s="348"/>
      <c r="M34" s="348"/>
      <c r="N34" s="349"/>
      <c r="O34" s="349"/>
      <c r="P34" s="349"/>
      <c r="Q34" s="349"/>
      <c r="R34" s="348"/>
    </row>
    <row r="35" spans="1:18" s="346" customFormat="1" ht="18" customHeight="1">
      <c r="A35" s="347"/>
      <c r="B35" s="347"/>
      <c r="C35" s="340">
        <v>4120</v>
      </c>
      <c r="D35" s="320" t="s">
        <v>285</v>
      </c>
      <c r="E35" s="318">
        <f t="shared" si="6"/>
        <v>1025</v>
      </c>
      <c r="F35" s="348">
        <f t="shared" si="7"/>
        <v>1025</v>
      </c>
      <c r="G35" s="348">
        <f t="shared" si="8"/>
        <v>1025</v>
      </c>
      <c r="H35" s="348">
        <v>1025</v>
      </c>
      <c r="I35" s="348"/>
      <c r="J35" s="348"/>
      <c r="K35" s="348"/>
      <c r="L35" s="348"/>
      <c r="M35" s="348"/>
      <c r="N35" s="349"/>
      <c r="O35" s="349"/>
      <c r="P35" s="349"/>
      <c r="Q35" s="349"/>
      <c r="R35" s="348"/>
    </row>
    <row r="36" spans="1:18" s="346" customFormat="1" ht="18" customHeight="1">
      <c r="A36" s="347"/>
      <c r="B36" s="347"/>
      <c r="C36" s="340">
        <v>4210</v>
      </c>
      <c r="D36" s="320" t="s">
        <v>276</v>
      </c>
      <c r="E36" s="318">
        <f t="shared" si="6"/>
        <v>2050</v>
      </c>
      <c r="F36" s="348">
        <f t="shared" si="7"/>
        <v>2050</v>
      </c>
      <c r="G36" s="348">
        <f t="shared" si="8"/>
        <v>2050</v>
      </c>
      <c r="H36" s="348"/>
      <c r="I36" s="348">
        <v>2050</v>
      </c>
      <c r="J36" s="348"/>
      <c r="K36" s="348"/>
      <c r="L36" s="348"/>
      <c r="M36" s="348"/>
      <c r="N36" s="349"/>
      <c r="O36" s="349"/>
      <c r="P36" s="349"/>
      <c r="Q36" s="349"/>
      <c r="R36" s="348"/>
    </row>
    <row r="37" spans="1:18" s="346" customFormat="1" ht="18" customHeight="1">
      <c r="A37" s="347"/>
      <c r="B37" s="347"/>
      <c r="C37" s="340">
        <v>4240</v>
      </c>
      <c r="D37" s="320" t="s">
        <v>277</v>
      </c>
      <c r="E37" s="318">
        <f t="shared" si="6"/>
        <v>1150</v>
      </c>
      <c r="F37" s="348">
        <f t="shared" si="7"/>
        <v>1150</v>
      </c>
      <c r="G37" s="348">
        <f t="shared" si="8"/>
        <v>1150</v>
      </c>
      <c r="H37" s="348"/>
      <c r="I37" s="348">
        <v>1150</v>
      </c>
      <c r="J37" s="348"/>
      <c r="K37" s="348"/>
      <c r="L37" s="348"/>
      <c r="M37" s="348"/>
      <c r="N37" s="349"/>
      <c r="O37" s="349"/>
      <c r="P37" s="349"/>
      <c r="Q37" s="349"/>
      <c r="R37" s="348"/>
    </row>
    <row r="38" spans="1:18" s="346" customFormat="1" ht="18" customHeight="1">
      <c r="A38" s="347"/>
      <c r="B38" s="347"/>
      <c r="C38" s="340">
        <v>4280</v>
      </c>
      <c r="D38" s="320" t="s">
        <v>278</v>
      </c>
      <c r="E38" s="318">
        <f t="shared" si="6"/>
        <v>100</v>
      </c>
      <c r="F38" s="348">
        <f t="shared" si="7"/>
        <v>100</v>
      </c>
      <c r="G38" s="348">
        <f t="shared" si="8"/>
        <v>100</v>
      </c>
      <c r="H38" s="348"/>
      <c r="I38" s="348">
        <v>100</v>
      </c>
      <c r="J38" s="348"/>
      <c r="K38" s="348"/>
      <c r="L38" s="348"/>
      <c r="M38" s="348"/>
      <c r="N38" s="349"/>
      <c r="O38" s="349"/>
      <c r="P38" s="349"/>
      <c r="Q38" s="349"/>
      <c r="R38" s="348"/>
    </row>
    <row r="39" spans="1:18" s="346" customFormat="1" ht="18" customHeight="1">
      <c r="A39" s="347"/>
      <c r="B39" s="347"/>
      <c r="C39" s="340">
        <v>4440</v>
      </c>
      <c r="D39" s="320" t="s">
        <v>279</v>
      </c>
      <c r="E39" s="318">
        <f t="shared" si="6"/>
        <v>2656</v>
      </c>
      <c r="F39" s="348">
        <f t="shared" si="7"/>
        <v>2656</v>
      </c>
      <c r="G39" s="348">
        <f t="shared" si="8"/>
        <v>2656</v>
      </c>
      <c r="H39" s="348"/>
      <c r="I39" s="348">
        <v>2656</v>
      </c>
      <c r="J39" s="348"/>
      <c r="K39" s="348"/>
      <c r="L39" s="348"/>
      <c r="M39" s="348"/>
      <c r="N39" s="349"/>
      <c r="O39" s="349"/>
      <c r="P39" s="349"/>
      <c r="Q39" s="349"/>
      <c r="R39" s="348"/>
    </row>
    <row r="40" spans="1:18" s="346" customFormat="1" ht="18" customHeight="1">
      <c r="A40" s="313"/>
      <c r="B40" s="312">
        <v>80146</v>
      </c>
      <c r="C40" s="319"/>
      <c r="D40" s="313" t="s">
        <v>299</v>
      </c>
      <c r="E40" s="314">
        <f>SUM(E41:E45)</f>
        <v>2196</v>
      </c>
      <c r="F40" s="314">
        <f>SUM(F41:F45)</f>
        <v>2196</v>
      </c>
      <c r="G40" s="314">
        <f>SUM(G41:G45)</f>
        <v>2196</v>
      </c>
      <c r="H40" s="314">
        <f>SUM(H41:H45)</f>
        <v>0</v>
      </c>
      <c r="I40" s="314">
        <f>SUM(I41:I45)</f>
        <v>2196</v>
      </c>
      <c r="J40" s="314">
        <f aca="true" t="shared" si="9" ref="J40:R40">SUM(J42:J45)</f>
        <v>0</v>
      </c>
      <c r="K40" s="314">
        <f t="shared" si="9"/>
        <v>0</v>
      </c>
      <c r="L40" s="314">
        <f t="shared" si="9"/>
        <v>0</v>
      </c>
      <c r="M40" s="314">
        <f t="shared" si="9"/>
        <v>0</v>
      </c>
      <c r="N40" s="314">
        <f t="shared" si="9"/>
        <v>0</v>
      </c>
      <c r="O40" s="314">
        <f t="shared" si="9"/>
        <v>0</v>
      </c>
      <c r="P40" s="314">
        <f t="shared" si="9"/>
        <v>0</v>
      </c>
      <c r="Q40" s="314">
        <f t="shared" si="9"/>
        <v>0</v>
      </c>
      <c r="R40" s="314">
        <f t="shared" si="9"/>
        <v>0</v>
      </c>
    </row>
    <row r="41" spans="1:18" s="346" customFormat="1" ht="18" customHeight="1">
      <c r="A41" s="313"/>
      <c r="B41" s="312"/>
      <c r="C41" s="316">
        <v>4210</v>
      </c>
      <c r="D41" s="317" t="s">
        <v>276</v>
      </c>
      <c r="E41" s="318">
        <f>F41+O41</f>
        <v>0</v>
      </c>
      <c r="F41" s="318">
        <f>G41+J41+K41+L41+M41+N41</f>
        <v>0</v>
      </c>
      <c r="G41" s="318">
        <f>H41+I41</f>
        <v>0</v>
      </c>
      <c r="H41" s="318"/>
      <c r="I41" s="318"/>
      <c r="J41" s="314"/>
      <c r="K41" s="314"/>
      <c r="L41" s="314"/>
      <c r="M41" s="314"/>
      <c r="N41" s="314"/>
      <c r="O41" s="314"/>
      <c r="P41" s="314"/>
      <c r="Q41" s="314"/>
      <c r="R41" s="314"/>
    </row>
    <row r="42" spans="1:18" s="346" customFormat="1" ht="18" customHeight="1">
      <c r="A42" s="347"/>
      <c r="B42" s="347"/>
      <c r="C42" s="340">
        <v>4240</v>
      </c>
      <c r="D42" s="320" t="s">
        <v>277</v>
      </c>
      <c r="E42" s="318">
        <f>F42+O42</f>
        <v>0</v>
      </c>
      <c r="F42" s="348">
        <f>G42+J42+K42+L42+M42+N42</f>
        <v>0</v>
      </c>
      <c r="G42" s="348">
        <f>H42+I42</f>
        <v>0</v>
      </c>
      <c r="H42" s="348"/>
      <c r="I42" s="348"/>
      <c r="J42" s="348"/>
      <c r="K42" s="348"/>
      <c r="L42" s="348"/>
      <c r="M42" s="348"/>
      <c r="N42" s="348"/>
      <c r="O42" s="349"/>
      <c r="P42" s="348"/>
      <c r="Q42" s="348"/>
      <c r="R42" s="348"/>
    </row>
    <row r="43" spans="1:18" s="346" customFormat="1" ht="18" customHeight="1">
      <c r="A43" s="347"/>
      <c r="B43" s="347"/>
      <c r="C43" s="340">
        <v>4300</v>
      </c>
      <c r="D43" s="320" t="s">
        <v>287</v>
      </c>
      <c r="E43" s="318">
        <f>F43+O43</f>
        <v>1000</v>
      </c>
      <c r="F43" s="348">
        <f>G43+J43+K43+L43+M43+N43</f>
        <v>1000</v>
      </c>
      <c r="G43" s="348">
        <f>H43+I43</f>
        <v>1000</v>
      </c>
      <c r="H43" s="348"/>
      <c r="I43" s="348">
        <v>1000</v>
      </c>
      <c r="J43" s="348"/>
      <c r="K43" s="348"/>
      <c r="L43" s="348"/>
      <c r="M43" s="348"/>
      <c r="N43" s="348"/>
      <c r="O43" s="349"/>
      <c r="P43" s="348"/>
      <c r="Q43" s="348"/>
      <c r="R43" s="348"/>
    </row>
    <row r="44" spans="1:18" s="346" customFormat="1" ht="18" customHeight="1">
      <c r="A44" s="347"/>
      <c r="B44" s="347"/>
      <c r="C44" s="340">
        <v>4410</v>
      </c>
      <c r="D44" s="320" t="s">
        <v>290</v>
      </c>
      <c r="E44" s="318">
        <f>F44+O44</f>
        <v>696</v>
      </c>
      <c r="F44" s="348">
        <f>G44+J44+K44+L44+M44+N44</f>
        <v>696</v>
      </c>
      <c r="G44" s="348">
        <f>H44+I44</f>
        <v>696</v>
      </c>
      <c r="H44" s="348"/>
      <c r="I44" s="348">
        <v>696</v>
      </c>
      <c r="J44" s="348"/>
      <c r="K44" s="348"/>
      <c r="L44" s="348"/>
      <c r="M44" s="348"/>
      <c r="N44" s="348"/>
      <c r="O44" s="349"/>
      <c r="P44" s="348"/>
      <c r="Q44" s="348"/>
      <c r="R44" s="348"/>
    </row>
    <row r="45" spans="1:18" s="346" customFormat="1" ht="27" customHeight="1">
      <c r="A45" s="347"/>
      <c r="B45" s="347"/>
      <c r="C45" s="340">
        <v>4700</v>
      </c>
      <c r="D45" s="320" t="s">
        <v>292</v>
      </c>
      <c r="E45" s="318">
        <f>F45+O45</f>
        <v>500</v>
      </c>
      <c r="F45" s="348">
        <f>G45+J45+K45+L45+M45+N45</f>
        <v>500</v>
      </c>
      <c r="G45" s="348">
        <f>H45+I45</f>
        <v>500</v>
      </c>
      <c r="H45" s="348"/>
      <c r="I45" s="348">
        <v>500</v>
      </c>
      <c r="J45" s="348"/>
      <c r="K45" s="348"/>
      <c r="L45" s="348"/>
      <c r="M45" s="348"/>
      <c r="N45" s="348"/>
      <c r="O45" s="349"/>
      <c r="P45" s="348"/>
      <c r="Q45" s="348"/>
      <c r="R45" s="348"/>
    </row>
    <row r="46" spans="1:18" s="346" customFormat="1" ht="18" customHeight="1">
      <c r="A46" s="313"/>
      <c r="B46" s="322">
        <v>80148</v>
      </c>
      <c r="C46" s="323"/>
      <c r="D46" s="324" t="s">
        <v>410</v>
      </c>
      <c r="E46" s="325">
        <f aca="true" t="shared" si="10" ref="E46:R46">SUM(E47:E59)</f>
        <v>74517</v>
      </c>
      <c r="F46" s="325">
        <f t="shared" si="10"/>
        <v>74517</v>
      </c>
      <c r="G46" s="325">
        <f t="shared" si="10"/>
        <v>74517</v>
      </c>
      <c r="H46" s="325">
        <f t="shared" si="10"/>
        <v>23533</v>
      </c>
      <c r="I46" s="325">
        <f t="shared" si="10"/>
        <v>50984</v>
      </c>
      <c r="J46" s="325">
        <f t="shared" si="10"/>
        <v>0</v>
      </c>
      <c r="K46" s="325">
        <f t="shared" si="10"/>
        <v>0</v>
      </c>
      <c r="L46" s="325">
        <f t="shared" si="10"/>
        <v>0</v>
      </c>
      <c r="M46" s="325">
        <f t="shared" si="10"/>
        <v>0</v>
      </c>
      <c r="N46" s="325">
        <f t="shared" si="10"/>
        <v>0</v>
      </c>
      <c r="O46" s="325">
        <f t="shared" si="10"/>
        <v>0</v>
      </c>
      <c r="P46" s="325">
        <f t="shared" si="10"/>
        <v>0</v>
      </c>
      <c r="Q46" s="325">
        <f t="shared" si="10"/>
        <v>0</v>
      </c>
      <c r="R46" s="325">
        <f t="shared" si="10"/>
        <v>0</v>
      </c>
    </row>
    <row r="47" spans="1:18" s="346" customFormat="1" ht="18" customHeight="1">
      <c r="A47" s="347"/>
      <c r="B47" s="347"/>
      <c r="C47" s="340">
        <v>3020</v>
      </c>
      <c r="D47" s="320" t="s">
        <v>407</v>
      </c>
      <c r="E47" s="318">
        <f aca="true" t="shared" si="11" ref="E47:E59">F47+O47</f>
        <v>0</v>
      </c>
      <c r="F47" s="318">
        <v>0</v>
      </c>
      <c r="G47" s="348">
        <v>0</v>
      </c>
      <c r="H47" s="348">
        <v>0</v>
      </c>
      <c r="I47" s="348">
        <v>0</v>
      </c>
      <c r="J47" s="348"/>
      <c r="K47" s="348"/>
      <c r="L47" s="348"/>
      <c r="M47" s="348"/>
      <c r="N47" s="349"/>
      <c r="O47" s="349"/>
      <c r="P47" s="349"/>
      <c r="Q47" s="349"/>
      <c r="R47" s="349"/>
    </row>
    <row r="48" spans="1:18" s="346" customFormat="1" ht="18" customHeight="1">
      <c r="A48" s="347"/>
      <c r="B48" s="347"/>
      <c r="C48" s="340">
        <v>4010</v>
      </c>
      <c r="D48" s="320" t="s">
        <v>265</v>
      </c>
      <c r="E48" s="318">
        <f t="shared" si="11"/>
        <v>18448</v>
      </c>
      <c r="F48" s="348">
        <f aca="true" t="shared" si="12" ref="F48:F55">G48+J48+K48+L48+M48+N48</f>
        <v>18448</v>
      </c>
      <c r="G48" s="348">
        <f aca="true" t="shared" si="13" ref="G48:G55">H48+I48</f>
        <v>18448</v>
      </c>
      <c r="H48" s="348">
        <v>18448</v>
      </c>
      <c r="I48" s="348">
        <v>0</v>
      </c>
      <c r="J48" s="348"/>
      <c r="K48" s="348"/>
      <c r="L48" s="348"/>
      <c r="M48" s="348"/>
      <c r="N48" s="349"/>
      <c r="O48" s="349"/>
      <c r="P48" s="349"/>
      <c r="Q48" s="349"/>
      <c r="R48" s="349"/>
    </row>
    <row r="49" spans="1:18" s="346" customFormat="1" ht="18" customHeight="1">
      <c r="A49" s="347"/>
      <c r="B49" s="347"/>
      <c r="C49" s="340">
        <v>4040</v>
      </c>
      <c r="D49" s="320" t="s">
        <v>415</v>
      </c>
      <c r="E49" s="318">
        <f t="shared" si="11"/>
        <v>1555</v>
      </c>
      <c r="F49" s="348">
        <f t="shared" si="12"/>
        <v>1555</v>
      </c>
      <c r="G49" s="348">
        <f t="shared" si="13"/>
        <v>1555</v>
      </c>
      <c r="H49" s="348">
        <v>1555</v>
      </c>
      <c r="I49" s="348">
        <v>0</v>
      </c>
      <c r="J49" s="348"/>
      <c r="K49" s="348"/>
      <c r="L49" s="348"/>
      <c r="M49" s="348"/>
      <c r="N49" s="349"/>
      <c r="O49" s="349"/>
      <c r="P49" s="349"/>
      <c r="Q49" s="349"/>
      <c r="R49" s="349"/>
    </row>
    <row r="50" spans="1:18" s="346" customFormat="1" ht="18" customHeight="1">
      <c r="A50" s="347"/>
      <c r="B50" s="347"/>
      <c r="C50" s="340">
        <v>4110</v>
      </c>
      <c r="D50" s="320" t="s">
        <v>284</v>
      </c>
      <c r="E50" s="318">
        <f t="shared" si="11"/>
        <v>3039</v>
      </c>
      <c r="F50" s="348">
        <f t="shared" si="12"/>
        <v>3039</v>
      </c>
      <c r="G50" s="348">
        <f t="shared" si="13"/>
        <v>3039</v>
      </c>
      <c r="H50" s="348">
        <v>3039</v>
      </c>
      <c r="I50" s="348">
        <v>0</v>
      </c>
      <c r="J50" s="348"/>
      <c r="K50" s="348"/>
      <c r="L50" s="348"/>
      <c r="M50" s="348"/>
      <c r="N50" s="349"/>
      <c r="O50" s="349"/>
      <c r="P50" s="349"/>
      <c r="Q50" s="349"/>
      <c r="R50" s="349"/>
    </row>
    <row r="51" spans="1:18" s="346" customFormat="1" ht="18" customHeight="1">
      <c r="A51" s="347"/>
      <c r="B51" s="347"/>
      <c r="C51" s="340">
        <v>4120</v>
      </c>
      <c r="D51" s="320" t="s">
        <v>285</v>
      </c>
      <c r="E51" s="318">
        <f t="shared" si="11"/>
        <v>491</v>
      </c>
      <c r="F51" s="348">
        <f t="shared" si="12"/>
        <v>491</v>
      </c>
      <c r="G51" s="348">
        <f t="shared" si="13"/>
        <v>491</v>
      </c>
      <c r="H51" s="348">
        <v>491</v>
      </c>
      <c r="I51" s="348">
        <v>0</v>
      </c>
      <c r="J51" s="348"/>
      <c r="K51" s="348"/>
      <c r="L51" s="348"/>
      <c r="M51" s="348"/>
      <c r="N51" s="349"/>
      <c r="O51" s="349"/>
      <c r="P51" s="349"/>
      <c r="Q51" s="349"/>
      <c r="R51" s="349"/>
    </row>
    <row r="52" spans="1:18" s="346" customFormat="1" ht="18" customHeight="1">
      <c r="A52" s="347"/>
      <c r="B52" s="347"/>
      <c r="C52" s="340">
        <v>4210</v>
      </c>
      <c r="D52" s="320" t="s">
        <v>276</v>
      </c>
      <c r="E52" s="318">
        <f t="shared" si="11"/>
        <v>4900</v>
      </c>
      <c r="F52" s="348">
        <f t="shared" si="12"/>
        <v>4900</v>
      </c>
      <c r="G52" s="348">
        <f t="shared" si="13"/>
        <v>4900</v>
      </c>
      <c r="H52" s="348">
        <v>0</v>
      </c>
      <c r="I52" s="348">
        <v>4900</v>
      </c>
      <c r="J52" s="348"/>
      <c r="K52" s="348"/>
      <c r="L52" s="348"/>
      <c r="M52" s="348"/>
      <c r="N52" s="349"/>
      <c r="O52" s="349"/>
      <c r="P52" s="349"/>
      <c r="Q52" s="349"/>
      <c r="R52" s="349"/>
    </row>
    <row r="53" spans="1:18" s="346" customFormat="1" ht="18" customHeight="1">
      <c r="A53" s="347"/>
      <c r="B53" s="347"/>
      <c r="C53" s="340">
        <v>4220</v>
      </c>
      <c r="D53" s="320" t="s">
        <v>411</v>
      </c>
      <c r="E53" s="318">
        <f t="shared" si="11"/>
        <v>42240</v>
      </c>
      <c r="F53" s="348">
        <f t="shared" si="12"/>
        <v>42240</v>
      </c>
      <c r="G53" s="348">
        <f t="shared" si="13"/>
        <v>42240</v>
      </c>
      <c r="H53" s="348">
        <v>0</v>
      </c>
      <c r="I53" s="348">
        <v>42240</v>
      </c>
      <c r="J53" s="348"/>
      <c r="K53" s="348"/>
      <c r="L53" s="348"/>
      <c r="M53" s="348"/>
      <c r="N53" s="349"/>
      <c r="O53" s="349"/>
      <c r="P53" s="349"/>
      <c r="Q53" s="349"/>
      <c r="R53" s="349"/>
    </row>
    <row r="54" spans="1:18" s="346" customFormat="1" ht="18" customHeight="1">
      <c r="A54" s="347"/>
      <c r="B54" s="347"/>
      <c r="C54" s="340">
        <v>4270</v>
      </c>
      <c r="D54" s="320" t="s">
        <v>231</v>
      </c>
      <c r="E54" s="318">
        <f t="shared" si="11"/>
        <v>3000</v>
      </c>
      <c r="F54" s="348">
        <f t="shared" si="12"/>
        <v>3000</v>
      </c>
      <c r="G54" s="348">
        <f t="shared" si="13"/>
        <v>3000</v>
      </c>
      <c r="H54" s="348">
        <v>0</v>
      </c>
      <c r="I54" s="348">
        <v>3000</v>
      </c>
      <c r="J54" s="348"/>
      <c r="K54" s="348"/>
      <c r="L54" s="348"/>
      <c r="M54" s="348"/>
      <c r="N54" s="349"/>
      <c r="O54" s="349"/>
      <c r="P54" s="349"/>
      <c r="Q54" s="349"/>
      <c r="R54" s="349"/>
    </row>
    <row r="55" spans="1:18" s="346" customFormat="1" ht="18" customHeight="1">
      <c r="A55" s="347"/>
      <c r="B55" s="347"/>
      <c r="C55" s="340">
        <v>4280</v>
      </c>
      <c r="D55" s="320" t="s">
        <v>278</v>
      </c>
      <c r="E55" s="318">
        <f t="shared" si="11"/>
        <v>50</v>
      </c>
      <c r="F55" s="348">
        <f t="shared" si="12"/>
        <v>50</v>
      </c>
      <c r="G55" s="348">
        <f t="shared" si="13"/>
        <v>50</v>
      </c>
      <c r="H55" s="348">
        <v>0</v>
      </c>
      <c r="I55" s="348">
        <v>50</v>
      </c>
      <c r="J55" s="348"/>
      <c r="K55" s="348"/>
      <c r="L55" s="348"/>
      <c r="M55" s="348"/>
      <c r="N55" s="349"/>
      <c r="O55" s="349"/>
      <c r="P55" s="349"/>
      <c r="Q55" s="349"/>
      <c r="R55" s="349"/>
    </row>
    <row r="56" spans="1:18" s="346" customFormat="1" ht="18" customHeight="1">
      <c r="A56" s="347"/>
      <c r="B56" s="347"/>
      <c r="C56" s="340">
        <v>4300</v>
      </c>
      <c r="D56" s="320" t="s">
        <v>287</v>
      </c>
      <c r="E56" s="318">
        <f t="shared" si="11"/>
        <v>0</v>
      </c>
      <c r="F56" s="348"/>
      <c r="G56" s="348"/>
      <c r="H56" s="348"/>
      <c r="I56" s="348"/>
      <c r="J56" s="348"/>
      <c r="K56" s="348"/>
      <c r="L56" s="348"/>
      <c r="M56" s="348"/>
      <c r="N56" s="349"/>
      <c r="O56" s="349"/>
      <c r="P56" s="349"/>
      <c r="Q56" s="349"/>
      <c r="R56" s="349"/>
    </row>
    <row r="57" spans="1:18" s="346" customFormat="1" ht="18" customHeight="1">
      <c r="A57" s="347"/>
      <c r="B57" s="347"/>
      <c r="C57" s="340">
        <v>4410</v>
      </c>
      <c r="D57" s="320" t="s">
        <v>290</v>
      </c>
      <c r="E57" s="318">
        <f t="shared" si="11"/>
        <v>0</v>
      </c>
      <c r="F57" s="348">
        <f>G57+J57+K57+L57+M57+N57</f>
        <v>0</v>
      </c>
      <c r="G57" s="348">
        <f>H57+I57</f>
        <v>0</v>
      </c>
      <c r="H57" s="348"/>
      <c r="I57" s="348"/>
      <c r="J57" s="348"/>
      <c r="K57" s="348"/>
      <c r="L57" s="348"/>
      <c r="M57" s="348"/>
      <c r="N57" s="349"/>
      <c r="O57" s="349"/>
      <c r="P57" s="349"/>
      <c r="Q57" s="349"/>
      <c r="R57" s="349"/>
    </row>
    <row r="58" spans="1:18" s="346" customFormat="1" ht="18" customHeight="1">
      <c r="A58" s="347"/>
      <c r="B58" s="347"/>
      <c r="C58" s="340">
        <v>4440</v>
      </c>
      <c r="D58" s="320" t="s">
        <v>279</v>
      </c>
      <c r="E58" s="318">
        <f t="shared" si="11"/>
        <v>794</v>
      </c>
      <c r="F58" s="348">
        <f>G58+J58+K58+L58+M58+N58</f>
        <v>794</v>
      </c>
      <c r="G58" s="348">
        <f>H58+I58</f>
        <v>794</v>
      </c>
      <c r="H58" s="348">
        <v>0</v>
      </c>
      <c r="I58" s="348">
        <v>794</v>
      </c>
      <c r="J58" s="348"/>
      <c r="K58" s="348"/>
      <c r="L58" s="348"/>
      <c r="M58" s="348"/>
      <c r="N58" s="349"/>
      <c r="O58" s="349"/>
      <c r="P58" s="349"/>
      <c r="Q58" s="349"/>
      <c r="R58" s="349"/>
    </row>
    <row r="59" spans="1:18" s="346" customFormat="1" ht="27" customHeight="1">
      <c r="A59" s="347"/>
      <c r="B59" s="347"/>
      <c r="C59" s="340">
        <v>4700</v>
      </c>
      <c r="D59" s="320" t="s">
        <v>292</v>
      </c>
      <c r="E59" s="318">
        <f t="shared" si="11"/>
        <v>0</v>
      </c>
      <c r="F59" s="348">
        <f>G59+J59+K59+L59+M59+N59</f>
        <v>0</v>
      </c>
      <c r="G59" s="348">
        <f>H59+I59</f>
        <v>0</v>
      </c>
      <c r="H59" s="348"/>
      <c r="I59" s="348">
        <v>0</v>
      </c>
      <c r="J59" s="348"/>
      <c r="K59" s="348"/>
      <c r="L59" s="348"/>
      <c r="M59" s="348"/>
      <c r="N59" s="349"/>
      <c r="O59" s="349"/>
      <c r="P59" s="349"/>
      <c r="Q59" s="349"/>
      <c r="R59" s="349"/>
    </row>
    <row r="60" spans="1:18" s="343" customFormat="1" ht="16.5" customHeight="1">
      <c r="A60" s="312"/>
      <c r="B60" s="312">
        <v>80195</v>
      </c>
      <c r="C60" s="319"/>
      <c r="D60" s="313" t="s">
        <v>30</v>
      </c>
      <c r="E60" s="314">
        <f aca="true" t="shared" si="14" ref="E60:Q60">SUM(E61:E61)</f>
        <v>11607</v>
      </c>
      <c r="F60" s="314">
        <f t="shared" si="14"/>
        <v>11607</v>
      </c>
      <c r="G60" s="314">
        <f t="shared" si="14"/>
        <v>11607</v>
      </c>
      <c r="H60" s="314">
        <f t="shared" si="14"/>
        <v>0</v>
      </c>
      <c r="I60" s="314">
        <f t="shared" si="14"/>
        <v>11607</v>
      </c>
      <c r="J60" s="314">
        <f t="shared" si="14"/>
        <v>0</v>
      </c>
      <c r="K60" s="314">
        <f t="shared" si="14"/>
        <v>0</v>
      </c>
      <c r="L60" s="314">
        <f t="shared" si="14"/>
        <v>0</v>
      </c>
      <c r="M60" s="314">
        <f t="shared" si="14"/>
        <v>0</v>
      </c>
      <c r="N60" s="314">
        <f t="shared" si="14"/>
        <v>0</v>
      </c>
      <c r="O60" s="314">
        <f t="shared" si="14"/>
        <v>0</v>
      </c>
      <c r="P60" s="314">
        <f t="shared" si="14"/>
        <v>0</v>
      </c>
      <c r="Q60" s="314">
        <f t="shared" si="14"/>
        <v>0</v>
      </c>
      <c r="R60" s="354">
        <v>0</v>
      </c>
    </row>
    <row r="61" spans="1:18" s="343" customFormat="1" ht="16.5" customHeight="1">
      <c r="A61" s="347"/>
      <c r="B61" s="347"/>
      <c r="C61" s="340">
        <v>4440</v>
      </c>
      <c r="D61" s="320" t="s">
        <v>279</v>
      </c>
      <c r="E61" s="318">
        <f>F61+O61</f>
        <v>11607</v>
      </c>
      <c r="F61" s="348">
        <f>G61+J61+K61+L61+M61+N61</f>
        <v>11607</v>
      </c>
      <c r="G61" s="348">
        <f>H61+I61</f>
        <v>11607</v>
      </c>
      <c r="H61" s="349">
        <v>0</v>
      </c>
      <c r="I61" s="348">
        <v>11607</v>
      </c>
      <c r="J61" s="349"/>
      <c r="K61" s="349"/>
      <c r="L61" s="349"/>
      <c r="M61" s="349"/>
      <c r="N61" s="349"/>
      <c r="O61" s="349"/>
      <c r="P61" s="349"/>
      <c r="Q61" s="349"/>
      <c r="R61" s="349"/>
    </row>
    <row r="62" s="343" customFormat="1" ht="15"/>
    <row r="63" s="343" customFormat="1" ht="15"/>
    <row r="64" s="343" customFormat="1" ht="15"/>
    <row r="65" s="343" customFormat="1" ht="15"/>
    <row r="66" s="343" customFormat="1" ht="15"/>
    <row r="67" s="343" customFormat="1" ht="15"/>
    <row r="68" s="343" customFormat="1" ht="15"/>
    <row r="69" s="343" customFormat="1" ht="15"/>
    <row r="70" s="343" customFormat="1" ht="15"/>
    <row r="71" s="343" customFormat="1" ht="15"/>
    <row r="72" s="343" customFormat="1" ht="15"/>
    <row r="73" s="343" customFormat="1" ht="15"/>
    <row r="74" s="343" customFormat="1" ht="15"/>
    <row r="75" s="343" customFormat="1" ht="15"/>
    <row r="76" s="343" customFormat="1" ht="15"/>
    <row r="77" s="343" customFormat="1" ht="15"/>
    <row r="78" s="343" customFormat="1" ht="15"/>
    <row r="79" s="343" customFormat="1" ht="15"/>
    <row r="80" s="343" customFormat="1" ht="15"/>
    <row r="81" s="343" customFormat="1" ht="15"/>
    <row r="82" s="343" customFormat="1" ht="15"/>
    <row r="83" s="343" customFormat="1" ht="15"/>
    <row r="84" s="343" customFormat="1" ht="15"/>
    <row r="85" s="343" customFormat="1" ht="15"/>
    <row r="86" s="343" customFormat="1" ht="15"/>
    <row r="87" s="343" customFormat="1" ht="15"/>
    <row r="88" s="343" customFormat="1" ht="15"/>
    <row r="89" s="343" customFormat="1" ht="15"/>
    <row r="90" s="343" customFormat="1" ht="15"/>
    <row r="91" s="343" customFormat="1" ht="15"/>
    <row r="92" s="343" customFormat="1" ht="15"/>
    <row r="93" s="343" customFormat="1" ht="15"/>
    <row r="94" s="343" customFormat="1" ht="15"/>
    <row r="95" s="343" customFormat="1" ht="15"/>
    <row r="96" s="343" customFormat="1" ht="15"/>
    <row r="97" s="343" customFormat="1" ht="15"/>
    <row r="98" s="343" customFormat="1" ht="15"/>
    <row r="99" s="343" customFormat="1" ht="15"/>
    <row r="100" s="343" customFormat="1" ht="15"/>
    <row r="101" s="343" customFormat="1" ht="15"/>
    <row r="102" s="343" customFormat="1" ht="15"/>
    <row r="103" s="343" customFormat="1" ht="15"/>
    <row r="104" s="343" customFormat="1" ht="15"/>
    <row r="105" s="343" customFormat="1" ht="15"/>
    <row r="106" s="343" customFormat="1" ht="15"/>
    <row r="107" s="343" customFormat="1" ht="15"/>
    <row r="108" s="343" customFormat="1" ht="15"/>
    <row r="109" s="343" customFormat="1" ht="15"/>
    <row r="110" s="343" customFormat="1" ht="15"/>
    <row r="111" s="343" customFormat="1" ht="15"/>
    <row r="112" s="343" customFormat="1" ht="15"/>
    <row r="113" s="343" customFormat="1" ht="15"/>
    <row r="114" s="343" customFormat="1" ht="15"/>
    <row r="115" s="343" customFormat="1" ht="15"/>
    <row r="116" s="343" customFormat="1" ht="15"/>
    <row r="117" s="343" customFormat="1" ht="15"/>
    <row r="118" s="343" customFormat="1" ht="15"/>
    <row r="119" s="343" customFormat="1" ht="15"/>
    <row r="120" s="343" customFormat="1" ht="15"/>
    <row r="121" s="343" customFormat="1" ht="15"/>
    <row r="122" s="343" customFormat="1" ht="15"/>
    <row r="123" s="343" customFormat="1" ht="15"/>
    <row r="124" s="343" customFormat="1" ht="15"/>
    <row r="125" s="343" customFormat="1" ht="15"/>
    <row r="126" s="343" customFormat="1" ht="15"/>
    <row r="127" s="343" customFormat="1" ht="15"/>
    <row r="128" s="343" customFormat="1" ht="15"/>
    <row r="129" s="343" customFormat="1" ht="15"/>
    <row r="130" s="343" customFormat="1" ht="15"/>
    <row r="131" s="343" customFormat="1" ht="15"/>
    <row r="132" s="343" customFormat="1" ht="15"/>
    <row r="133" s="343" customFormat="1" ht="15"/>
    <row r="134" s="343" customFormat="1" ht="15"/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/>
  <pageMargins left="0.5902777777777778" right="0.5902777777777778" top="0.9854166666666666" bottom="0.5673611111111111" header="0.5902777777777778" footer="0.40069444444444446"/>
  <pageSetup horizontalDpi="300" verticalDpi="300" orientation="landscape" paperSize="9" scale="71" r:id="rId1"/>
  <headerFooter alignWithMargins="0">
    <oddHeader>&amp;R&amp;"Times New Roman,Normalny"&amp;12Załącznik Nr 17 do Uchwały  Nr III/12/2010 Rady Miejskiej w Barlinku z dnia 30 grudnia 2010</oddHeader>
    <oddFooter>&amp;C&amp;"Times New Roman,Normalny"&amp;12Strona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175"/>
  <sheetViews>
    <sheetView showGridLines="0" defaultGridColor="0" view="pageBreakPreview" zoomScaleSheetLayoutView="100" colorId="15" workbookViewId="0" topLeftCell="A1">
      <pane ySplit="6" topLeftCell="P7" activePane="bottomLeft" state="frozen"/>
      <selection pane="topLeft" activeCell="A1" sqref="A1"/>
      <selection pane="bottomLeft" activeCell="I24" sqref="I24"/>
    </sheetView>
  </sheetViews>
  <sheetFormatPr defaultColWidth="9.00390625" defaultRowHeight="18" customHeight="1"/>
  <cols>
    <col min="1" max="1" width="5.00390625" style="304" customWidth="1"/>
    <col min="2" max="2" width="7.25390625" style="304" customWidth="1"/>
    <col min="3" max="3" width="6.125" style="305" customWidth="1"/>
    <col min="4" max="4" width="44.875" style="306" customWidth="1"/>
    <col min="5" max="5" width="10.875" style="305" customWidth="1"/>
    <col min="6" max="6" width="11.25390625" style="305" customWidth="1"/>
    <col min="7" max="7" width="10.25390625" style="305" customWidth="1"/>
    <col min="8" max="8" width="11.75390625" style="305" customWidth="1"/>
    <col min="9" max="9" width="9.375" style="305" customWidth="1"/>
    <col min="10" max="10" width="7.375" style="305" customWidth="1"/>
    <col min="11" max="13" width="7.75390625" style="305" customWidth="1"/>
    <col min="14" max="14" width="6.625" style="305" customWidth="1"/>
    <col min="15" max="15" width="8.125" style="305" customWidth="1"/>
    <col min="16" max="16" width="8.75390625" style="305" customWidth="1"/>
    <col min="17" max="17" width="9.25390625" style="305" customWidth="1"/>
    <col min="18" max="18" width="7.875" style="305" customWidth="1"/>
    <col min="19" max="40" width="9.00390625" style="305" customWidth="1"/>
  </cols>
  <sheetData>
    <row r="1" spans="1:40" ht="31.5" customHeight="1">
      <c r="A1" s="551" t="s">
        <v>417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</row>
    <row r="2" spans="1:40" ht="13.5" customHeight="1">
      <c r="A2" s="552" t="s">
        <v>1</v>
      </c>
      <c r="B2" s="552" t="s">
        <v>21</v>
      </c>
      <c r="C2" s="552" t="s">
        <v>22</v>
      </c>
      <c r="D2" s="552" t="s">
        <v>186</v>
      </c>
      <c r="E2" s="552" t="s">
        <v>187</v>
      </c>
      <c r="F2" s="553" t="s">
        <v>188</v>
      </c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1:40" ht="13.5" customHeight="1">
      <c r="A3" s="552"/>
      <c r="B3" s="552"/>
      <c r="C3" s="552"/>
      <c r="D3" s="552"/>
      <c r="E3" s="552"/>
      <c r="F3" s="554" t="s">
        <v>177</v>
      </c>
      <c r="G3" s="555" t="s">
        <v>25</v>
      </c>
      <c r="H3" s="555"/>
      <c r="I3" s="555"/>
      <c r="J3" s="555"/>
      <c r="K3" s="555"/>
      <c r="L3" s="555"/>
      <c r="M3" s="555"/>
      <c r="N3" s="555"/>
      <c r="O3" s="542" t="s">
        <v>189</v>
      </c>
      <c r="P3" s="555" t="s">
        <v>25</v>
      </c>
      <c r="Q3" s="555"/>
      <c r="R3" s="555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</row>
    <row r="4" spans="1:40" ht="13.5" customHeight="1">
      <c r="A4" s="552"/>
      <c r="B4" s="552"/>
      <c r="C4" s="552"/>
      <c r="D4" s="552"/>
      <c r="E4" s="552"/>
      <c r="F4" s="554"/>
      <c r="G4" s="554" t="s">
        <v>190</v>
      </c>
      <c r="H4" s="555" t="s">
        <v>191</v>
      </c>
      <c r="I4" s="555"/>
      <c r="J4" s="542" t="s">
        <v>192</v>
      </c>
      <c r="K4" s="542" t="s">
        <v>193</v>
      </c>
      <c r="L4" s="542" t="s">
        <v>200</v>
      </c>
      <c r="M4" s="542" t="s">
        <v>194</v>
      </c>
      <c r="N4" s="542" t="s">
        <v>195</v>
      </c>
      <c r="O4" s="542"/>
      <c r="P4" s="542" t="s">
        <v>196</v>
      </c>
      <c r="Q4" s="233" t="s">
        <v>25</v>
      </c>
      <c r="R4" s="542" t="s">
        <v>197</v>
      </c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</row>
    <row r="5" spans="1:40" ht="109.5" customHeight="1">
      <c r="A5" s="552"/>
      <c r="B5" s="552"/>
      <c r="C5" s="552"/>
      <c r="D5" s="552"/>
      <c r="E5" s="552"/>
      <c r="F5" s="554"/>
      <c r="G5" s="554"/>
      <c r="H5" s="232" t="s">
        <v>198</v>
      </c>
      <c r="I5" s="232" t="s">
        <v>199</v>
      </c>
      <c r="J5" s="542"/>
      <c r="K5" s="542"/>
      <c r="L5" s="542"/>
      <c r="M5" s="542"/>
      <c r="N5" s="542"/>
      <c r="O5" s="542"/>
      <c r="P5" s="542"/>
      <c r="Q5" s="234" t="s">
        <v>200</v>
      </c>
      <c r="R5" s="542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</row>
    <row r="6" spans="1:40" ht="12" customHeight="1">
      <c r="A6" s="345">
        <v>1</v>
      </c>
      <c r="B6" s="345">
        <v>2</v>
      </c>
      <c r="C6" s="345">
        <v>3</v>
      </c>
      <c r="D6" s="345">
        <v>4</v>
      </c>
      <c r="E6" s="345">
        <v>5</v>
      </c>
      <c r="F6" s="345">
        <v>6</v>
      </c>
      <c r="G6" s="345">
        <v>7</v>
      </c>
      <c r="H6" s="345">
        <v>8</v>
      </c>
      <c r="I6" s="345">
        <v>9</v>
      </c>
      <c r="J6" s="345">
        <v>10</v>
      </c>
      <c r="K6" s="345">
        <v>11</v>
      </c>
      <c r="L6" s="345">
        <v>12</v>
      </c>
      <c r="M6" s="345">
        <v>13</v>
      </c>
      <c r="N6" s="345">
        <v>14</v>
      </c>
      <c r="O6" s="345">
        <v>15</v>
      </c>
      <c r="P6" s="345">
        <v>16</v>
      </c>
      <c r="Q6" s="345">
        <v>17</v>
      </c>
      <c r="R6" s="345">
        <v>18</v>
      </c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</row>
    <row r="7" spans="1:40" ht="16.5" customHeight="1">
      <c r="A7" s="359">
        <v>801</v>
      </c>
      <c r="B7" s="359"/>
      <c r="C7" s="359"/>
      <c r="D7" s="360" t="s">
        <v>115</v>
      </c>
      <c r="E7" s="361">
        <f aca="true" t="shared" si="0" ref="E7:R7">E8+E26+E32+E46</f>
        <v>1673283</v>
      </c>
      <c r="F7" s="361">
        <f t="shared" si="0"/>
        <v>1673283</v>
      </c>
      <c r="G7" s="361">
        <f t="shared" si="0"/>
        <v>1667706</v>
      </c>
      <c r="H7" s="361">
        <f t="shared" si="0"/>
        <v>1144488</v>
      </c>
      <c r="I7" s="361">
        <f t="shared" si="0"/>
        <v>523218</v>
      </c>
      <c r="J7" s="361">
        <f t="shared" si="0"/>
        <v>0</v>
      </c>
      <c r="K7" s="361">
        <f t="shared" si="0"/>
        <v>5577</v>
      </c>
      <c r="L7" s="361">
        <f t="shared" si="0"/>
        <v>0</v>
      </c>
      <c r="M7" s="361">
        <f t="shared" si="0"/>
        <v>0</v>
      </c>
      <c r="N7" s="361">
        <f t="shared" si="0"/>
        <v>0</v>
      </c>
      <c r="O7" s="361">
        <f t="shared" si="0"/>
        <v>0</v>
      </c>
      <c r="P7" s="361">
        <f t="shared" si="0"/>
        <v>0</v>
      </c>
      <c r="Q7" s="361">
        <f t="shared" si="0"/>
        <v>0</v>
      </c>
      <c r="R7" s="361">
        <f t="shared" si="0"/>
        <v>0</v>
      </c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</row>
    <row r="8" spans="1:40" ht="16.5" customHeight="1">
      <c r="A8" s="362"/>
      <c r="B8" s="362">
        <v>80104</v>
      </c>
      <c r="C8" s="362"/>
      <c r="D8" s="363" t="s">
        <v>280</v>
      </c>
      <c r="E8" s="364">
        <f aca="true" t="shared" si="1" ref="E8:R8">SUM(E9:E25)</f>
        <v>1435576</v>
      </c>
      <c r="F8" s="364">
        <f t="shared" si="1"/>
        <v>1435576</v>
      </c>
      <c r="G8" s="364">
        <f t="shared" si="1"/>
        <v>1429999</v>
      </c>
      <c r="H8" s="364">
        <f t="shared" si="1"/>
        <v>1144488</v>
      </c>
      <c r="I8" s="364">
        <f t="shared" si="1"/>
        <v>285511</v>
      </c>
      <c r="J8" s="364">
        <f t="shared" si="1"/>
        <v>0</v>
      </c>
      <c r="K8" s="364">
        <f t="shared" si="1"/>
        <v>5577</v>
      </c>
      <c r="L8" s="364">
        <f t="shared" si="1"/>
        <v>0</v>
      </c>
      <c r="M8" s="364">
        <f t="shared" si="1"/>
        <v>0</v>
      </c>
      <c r="N8" s="364">
        <f t="shared" si="1"/>
        <v>0</v>
      </c>
      <c r="O8" s="364">
        <f t="shared" si="1"/>
        <v>0</v>
      </c>
      <c r="P8" s="364">
        <f t="shared" si="1"/>
        <v>0</v>
      </c>
      <c r="Q8" s="364">
        <f t="shared" si="1"/>
        <v>0</v>
      </c>
      <c r="R8" s="364">
        <f t="shared" si="1"/>
        <v>0</v>
      </c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</row>
    <row r="9" spans="1:40" ht="17.25" customHeight="1">
      <c r="A9" s="365"/>
      <c r="B9" s="365"/>
      <c r="C9" s="366">
        <v>3020</v>
      </c>
      <c r="D9" s="367" t="s">
        <v>407</v>
      </c>
      <c r="E9" s="368">
        <f aca="true" t="shared" si="2" ref="E9:E25">F9+O9</f>
        <v>5577</v>
      </c>
      <c r="F9" s="368">
        <f aca="true" t="shared" si="3" ref="F9:F25">G9+J9+K9+L9+M9+N9</f>
        <v>5577</v>
      </c>
      <c r="G9" s="368">
        <f aca="true" t="shared" si="4" ref="G9:G25">H9+I9</f>
        <v>0</v>
      </c>
      <c r="H9" s="369">
        <v>0</v>
      </c>
      <c r="I9" s="369">
        <v>0</v>
      </c>
      <c r="J9" s="369">
        <v>0</v>
      </c>
      <c r="K9" s="369">
        <v>5577</v>
      </c>
      <c r="L9" s="368"/>
      <c r="M9" s="368"/>
      <c r="N9" s="368"/>
      <c r="O9" s="368"/>
      <c r="P9" s="368"/>
      <c r="Q9" s="368"/>
      <c r="R9" s="36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</row>
    <row r="10" spans="1:40" ht="17.25" customHeight="1">
      <c r="A10" s="365"/>
      <c r="B10" s="365"/>
      <c r="C10" s="366">
        <v>4010</v>
      </c>
      <c r="D10" s="367" t="s">
        <v>265</v>
      </c>
      <c r="E10" s="368">
        <f t="shared" si="2"/>
        <v>885192</v>
      </c>
      <c r="F10" s="368">
        <f t="shared" si="3"/>
        <v>885192</v>
      </c>
      <c r="G10" s="368">
        <f t="shared" si="4"/>
        <v>885192</v>
      </c>
      <c r="H10" s="369">
        <f>(493692+40249+86406+19800+8159)+(184776+1800+33430+16880)</f>
        <v>885192</v>
      </c>
      <c r="I10" s="369"/>
      <c r="J10" s="369"/>
      <c r="K10" s="369"/>
      <c r="L10" s="368"/>
      <c r="M10" s="368"/>
      <c r="N10" s="368"/>
      <c r="O10" s="368"/>
      <c r="P10" s="368"/>
      <c r="Q10" s="368"/>
      <c r="R10" s="36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</row>
    <row r="11" spans="1:40" ht="17.25" customHeight="1">
      <c r="A11" s="365"/>
      <c r="B11" s="365"/>
      <c r="C11" s="366">
        <v>4040</v>
      </c>
      <c r="D11" s="367" t="s">
        <v>283</v>
      </c>
      <c r="E11" s="368">
        <f t="shared" si="2"/>
        <v>81845</v>
      </c>
      <c r="F11" s="368">
        <f t="shared" si="3"/>
        <v>81845</v>
      </c>
      <c r="G11" s="368">
        <f t="shared" si="4"/>
        <v>81845</v>
      </c>
      <c r="H11" s="369">
        <v>81845</v>
      </c>
      <c r="I11" s="369"/>
      <c r="J11" s="369"/>
      <c r="K11" s="369"/>
      <c r="L11" s="368"/>
      <c r="M11" s="368"/>
      <c r="N11" s="368"/>
      <c r="O11" s="368"/>
      <c r="P11" s="368"/>
      <c r="Q11" s="368"/>
      <c r="R11" s="36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</row>
    <row r="12" spans="1:40" ht="17.25" customHeight="1">
      <c r="A12" s="365"/>
      <c r="B12" s="365"/>
      <c r="C12" s="366">
        <v>4110</v>
      </c>
      <c r="D12" s="367" t="s">
        <v>284</v>
      </c>
      <c r="E12" s="368">
        <f t="shared" si="2"/>
        <v>153759</v>
      </c>
      <c r="F12" s="368">
        <f t="shared" si="3"/>
        <v>153759</v>
      </c>
      <c r="G12" s="368">
        <f t="shared" si="4"/>
        <v>153759</v>
      </c>
      <c r="H12" s="368">
        <v>153759</v>
      </c>
      <c r="I12" s="369"/>
      <c r="J12" s="369"/>
      <c r="K12" s="369"/>
      <c r="L12" s="368"/>
      <c r="M12" s="368"/>
      <c r="N12" s="368"/>
      <c r="O12" s="368"/>
      <c r="P12" s="368"/>
      <c r="Q12" s="368"/>
      <c r="R12" s="36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</row>
    <row r="13" spans="1:40" ht="17.25" customHeight="1">
      <c r="A13" s="365"/>
      <c r="B13" s="365"/>
      <c r="C13" s="366">
        <v>4120</v>
      </c>
      <c r="D13" s="367" t="s">
        <v>285</v>
      </c>
      <c r="E13" s="368">
        <f t="shared" si="2"/>
        <v>23692</v>
      </c>
      <c r="F13" s="368">
        <f t="shared" si="3"/>
        <v>23692</v>
      </c>
      <c r="G13" s="368">
        <f t="shared" si="4"/>
        <v>23692</v>
      </c>
      <c r="H13" s="368">
        <v>23692</v>
      </c>
      <c r="I13" s="369"/>
      <c r="J13" s="369"/>
      <c r="K13" s="369"/>
      <c r="L13" s="368"/>
      <c r="M13" s="368"/>
      <c r="N13" s="368"/>
      <c r="O13" s="368"/>
      <c r="P13" s="368"/>
      <c r="Q13" s="368"/>
      <c r="R13" s="36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</row>
    <row r="14" spans="1:40" ht="17.25" customHeight="1">
      <c r="A14" s="365"/>
      <c r="B14" s="365"/>
      <c r="C14" s="366">
        <v>4210</v>
      </c>
      <c r="D14" s="367" t="s">
        <v>276</v>
      </c>
      <c r="E14" s="368">
        <f t="shared" si="2"/>
        <v>20000</v>
      </c>
      <c r="F14" s="368">
        <f t="shared" si="3"/>
        <v>20000</v>
      </c>
      <c r="G14" s="368">
        <f t="shared" si="4"/>
        <v>20000</v>
      </c>
      <c r="H14" s="369">
        <v>0</v>
      </c>
      <c r="I14" s="369">
        <v>20000</v>
      </c>
      <c r="J14" s="369"/>
      <c r="K14" s="369"/>
      <c r="L14" s="368"/>
      <c r="M14" s="368"/>
      <c r="N14" s="368"/>
      <c r="O14" s="368"/>
      <c r="P14" s="368"/>
      <c r="Q14" s="368"/>
      <c r="R14" s="36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</row>
    <row r="15" spans="1:40" ht="15.75" customHeight="1">
      <c r="A15" s="365"/>
      <c r="B15" s="365"/>
      <c r="C15" s="366">
        <v>4240</v>
      </c>
      <c r="D15" s="367" t="s">
        <v>277</v>
      </c>
      <c r="E15" s="368">
        <f t="shared" si="2"/>
        <v>600</v>
      </c>
      <c r="F15" s="368">
        <f t="shared" si="3"/>
        <v>600</v>
      </c>
      <c r="G15" s="368">
        <f t="shared" si="4"/>
        <v>600</v>
      </c>
      <c r="H15" s="369">
        <v>0</v>
      </c>
      <c r="I15" s="369">
        <v>600</v>
      </c>
      <c r="J15" s="369"/>
      <c r="K15" s="369"/>
      <c r="L15" s="368"/>
      <c r="M15" s="368"/>
      <c r="N15" s="368"/>
      <c r="O15" s="368"/>
      <c r="P15" s="368"/>
      <c r="Q15" s="368"/>
      <c r="R15" s="36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</row>
    <row r="16" spans="1:40" ht="17.25" customHeight="1">
      <c r="A16" s="365"/>
      <c r="B16" s="365"/>
      <c r="C16" s="366">
        <v>4260</v>
      </c>
      <c r="D16" s="367" t="s">
        <v>286</v>
      </c>
      <c r="E16" s="368">
        <f t="shared" si="2"/>
        <v>176067</v>
      </c>
      <c r="F16" s="368">
        <f t="shared" si="3"/>
        <v>176067</v>
      </c>
      <c r="G16" s="368">
        <f t="shared" si="4"/>
        <v>176067</v>
      </c>
      <c r="H16" s="369">
        <v>0</v>
      </c>
      <c r="I16" s="369">
        <v>176067</v>
      </c>
      <c r="J16" s="369"/>
      <c r="K16" s="369"/>
      <c r="L16" s="368"/>
      <c r="M16" s="368"/>
      <c r="N16" s="368"/>
      <c r="O16" s="368"/>
      <c r="P16" s="368"/>
      <c r="Q16" s="368"/>
      <c r="R16" s="36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</row>
    <row r="17" spans="1:40" ht="17.25" customHeight="1">
      <c r="A17" s="365"/>
      <c r="B17" s="365"/>
      <c r="C17" s="366">
        <v>4270</v>
      </c>
      <c r="D17" s="367" t="s">
        <v>231</v>
      </c>
      <c r="E17" s="368">
        <f t="shared" si="2"/>
        <v>6000</v>
      </c>
      <c r="F17" s="368">
        <f t="shared" si="3"/>
        <v>6000</v>
      </c>
      <c r="G17" s="368">
        <f t="shared" si="4"/>
        <v>6000</v>
      </c>
      <c r="H17" s="369">
        <v>0</v>
      </c>
      <c r="I17" s="369">
        <v>6000</v>
      </c>
      <c r="J17" s="369"/>
      <c r="K17" s="369"/>
      <c r="L17" s="368"/>
      <c r="M17" s="368"/>
      <c r="N17" s="368"/>
      <c r="O17" s="368"/>
      <c r="P17" s="368"/>
      <c r="Q17" s="368"/>
      <c r="R17" s="36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</row>
    <row r="18" spans="1:40" ht="17.25" customHeight="1">
      <c r="A18" s="365"/>
      <c r="B18" s="365"/>
      <c r="C18" s="366">
        <v>4280</v>
      </c>
      <c r="D18" s="367" t="s">
        <v>278</v>
      </c>
      <c r="E18" s="368">
        <f t="shared" si="2"/>
        <v>100</v>
      </c>
      <c r="F18" s="368">
        <f t="shared" si="3"/>
        <v>100</v>
      </c>
      <c r="G18" s="368">
        <f t="shared" si="4"/>
        <v>100</v>
      </c>
      <c r="H18" s="369">
        <v>0</v>
      </c>
      <c r="I18" s="369">
        <v>100</v>
      </c>
      <c r="J18" s="369"/>
      <c r="K18" s="369"/>
      <c r="L18" s="368"/>
      <c r="M18" s="368"/>
      <c r="N18" s="368"/>
      <c r="O18" s="368"/>
      <c r="P18" s="368"/>
      <c r="Q18" s="368"/>
      <c r="R18" s="36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</row>
    <row r="19" spans="1:40" ht="17.25" customHeight="1">
      <c r="A19" s="365"/>
      <c r="B19" s="365"/>
      <c r="C19" s="366">
        <v>4300</v>
      </c>
      <c r="D19" s="367" t="s">
        <v>287</v>
      </c>
      <c r="E19" s="368">
        <f t="shared" si="2"/>
        <v>20000</v>
      </c>
      <c r="F19" s="368">
        <f t="shared" si="3"/>
        <v>20000</v>
      </c>
      <c r="G19" s="368">
        <f t="shared" si="4"/>
        <v>20000</v>
      </c>
      <c r="H19" s="369">
        <v>0</v>
      </c>
      <c r="I19" s="369">
        <v>20000</v>
      </c>
      <c r="J19" s="369"/>
      <c r="K19" s="369"/>
      <c r="L19" s="368"/>
      <c r="M19" s="368"/>
      <c r="N19" s="368"/>
      <c r="O19" s="368"/>
      <c r="P19" s="368"/>
      <c r="Q19" s="368"/>
      <c r="R19" s="36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</row>
    <row r="20" spans="1:40" ht="17.25" customHeight="1">
      <c r="A20" s="365"/>
      <c r="B20" s="365"/>
      <c r="C20" s="366">
        <v>4350</v>
      </c>
      <c r="D20" s="367" t="s">
        <v>288</v>
      </c>
      <c r="E20" s="368">
        <f t="shared" si="2"/>
        <v>1075</v>
      </c>
      <c r="F20" s="368">
        <f t="shared" si="3"/>
        <v>1075</v>
      </c>
      <c r="G20" s="368">
        <f t="shared" si="4"/>
        <v>1075</v>
      </c>
      <c r="H20" s="369">
        <v>0</v>
      </c>
      <c r="I20" s="369">
        <v>1075</v>
      </c>
      <c r="J20" s="369"/>
      <c r="K20" s="369"/>
      <c r="L20" s="368"/>
      <c r="M20" s="368"/>
      <c r="N20" s="368"/>
      <c r="O20" s="368"/>
      <c r="P20" s="368"/>
      <c r="Q20" s="368"/>
      <c r="R20" s="36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</row>
    <row r="21" spans="1:40" ht="27" customHeight="1">
      <c r="A21" s="365"/>
      <c r="B21" s="365"/>
      <c r="C21" s="366">
        <v>4370</v>
      </c>
      <c r="D21" s="367" t="s">
        <v>409</v>
      </c>
      <c r="E21" s="368">
        <f t="shared" si="2"/>
        <v>3000</v>
      </c>
      <c r="F21" s="368">
        <f t="shared" si="3"/>
        <v>3000</v>
      </c>
      <c r="G21" s="368">
        <f t="shared" si="4"/>
        <v>3000</v>
      </c>
      <c r="H21" s="369">
        <v>0</v>
      </c>
      <c r="I21" s="369">
        <v>3000</v>
      </c>
      <c r="J21" s="369"/>
      <c r="K21" s="369"/>
      <c r="L21" s="368"/>
      <c r="M21" s="368"/>
      <c r="N21" s="368"/>
      <c r="O21" s="368"/>
      <c r="P21" s="368"/>
      <c r="Q21" s="368"/>
      <c r="R21" s="36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</row>
    <row r="22" spans="1:40" ht="17.25" customHeight="1">
      <c r="A22" s="365"/>
      <c r="B22" s="365"/>
      <c r="C22" s="366">
        <v>4410</v>
      </c>
      <c r="D22" s="367" t="s">
        <v>290</v>
      </c>
      <c r="E22" s="368">
        <f t="shared" si="2"/>
        <v>400</v>
      </c>
      <c r="F22" s="368">
        <f t="shared" si="3"/>
        <v>400</v>
      </c>
      <c r="G22" s="368">
        <f t="shared" si="4"/>
        <v>400</v>
      </c>
      <c r="H22" s="369">
        <v>0</v>
      </c>
      <c r="I22" s="369">
        <v>400</v>
      </c>
      <c r="J22" s="369"/>
      <c r="K22" s="369"/>
      <c r="L22" s="368"/>
      <c r="M22" s="368"/>
      <c r="N22" s="368"/>
      <c r="O22" s="368"/>
      <c r="P22" s="368"/>
      <c r="Q22" s="368"/>
      <c r="R22" s="36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</row>
    <row r="23" spans="1:40" ht="17.25" customHeight="1">
      <c r="A23" s="365"/>
      <c r="B23" s="365"/>
      <c r="C23" s="366">
        <v>4430</v>
      </c>
      <c r="D23" s="367" t="s">
        <v>291</v>
      </c>
      <c r="E23" s="368">
        <f t="shared" si="2"/>
        <v>736</v>
      </c>
      <c r="F23" s="368">
        <f t="shared" si="3"/>
        <v>736</v>
      </c>
      <c r="G23" s="368">
        <f t="shared" si="4"/>
        <v>736</v>
      </c>
      <c r="H23" s="369">
        <v>0</v>
      </c>
      <c r="I23" s="369">
        <v>736</v>
      </c>
      <c r="J23" s="369"/>
      <c r="K23" s="369"/>
      <c r="L23" s="368"/>
      <c r="M23" s="368"/>
      <c r="N23" s="368"/>
      <c r="O23" s="368"/>
      <c r="P23" s="368"/>
      <c r="Q23" s="368"/>
      <c r="R23" s="36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</row>
    <row r="24" spans="1:40" ht="17.25" customHeight="1">
      <c r="A24" s="365"/>
      <c r="B24" s="365"/>
      <c r="C24" s="366">
        <v>4440</v>
      </c>
      <c r="D24" s="367" t="s">
        <v>279</v>
      </c>
      <c r="E24" s="368">
        <f t="shared" si="2"/>
        <v>56333</v>
      </c>
      <c r="F24" s="368">
        <f t="shared" si="3"/>
        <v>56333</v>
      </c>
      <c r="G24" s="368">
        <f t="shared" si="4"/>
        <v>56333</v>
      </c>
      <c r="H24" s="369">
        <v>0</v>
      </c>
      <c r="I24" s="370">
        <v>56333</v>
      </c>
      <c r="J24" s="369"/>
      <c r="K24" s="369"/>
      <c r="L24" s="368"/>
      <c r="M24" s="368"/>
      <c r="N24" s="368"/>
      <c r="O24" s="368"/>
      <c r="P24" s="368"/>
      <c r="Q24" s="368"/>
      <c r="R24" s="36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</row>
    <row r="25" spans="1:40" ht="27" customHeight="1">
      <c r="A25" s="365"/>
      <c r="B25" s="365"/>
      <c r="C25" s="366">
        <v>4700</v>
      </c>
      <c r="D25" s="367" t="s">
        <v>292</v>
      </c>
      <c r="E25" s="368">
        <f t="shared" si="2"/>
        <v>1200</v>
      </c>
      <c r="F25" s="368">
        <f t="shared" si="3"/>
        <v>1200</v>
      </c>
      <c r="G25" s="368">
        <f t="shared" si="4"/>
        <v>1200</v>
      </c>
      <c r="H25" s="369">
        <v>0</v>
      </c>
      <c r="I25" s="369">
        <v>1200</v>
      </c>
      <c r="J25" s="369"/>
      <c r="K25" s="369"/>
      <c r="L25" s="368"/>
      <c r="M25" s="368"/>
      <c r="N25" s="368"/>
      <c r="O25" s="368"/>
      <c r="P25" s="368"/>
      <c r="Q25" s="368"/>
      <c r="R25" s="36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</row>
    <row r="26" spans="1:40" ht="16.5" customHeight="1">
      <c r="A26" s="363"/>
      <c r="B26" s="371">
        <v>80146</v>
      </c>
      <c r="C26" s="372"/>
      <c r="D26" s="363" t="s">
        <v>299</v>
      </c>
      <c r="E26" s="373">
        <f>SUM(E27:E31)</f>
        <v>4600</v>
      </c>
      <c r="F26" s="373">
        <f>SUM(F27:F31)</f>
        <v>4600</v>
      </c>
      <c r="G26" s="373">
        <f>SUM(G27:G31)</f>
        <v>4600</v>
      </c>
      <c r="H26" s="373">
        <f>SUM(H27:H31)</f>
        <v>0</v>
      </c>
      <c r="I26" s="373">
        <f>SUM(I27:I31)</f>
        <v>4600</v>
      </c>
      <c r="J26" s="373">
        <f aca="true" t="shared" si="5" ref="J26:R26">SUM(J29:J31)</f>
        <v>0</v>
      </c>
      <c r="K26" s="373">
        <f t="shared" si="5"/>
        <v>0</v>
      </c>
      <c r="L26" s="373">
        <f t="shared" si="5"/>
        <v>0</v>
      </c>
      <c r="M26" s="373">
        <f t="shared" si="5"/>
        <v>0</v>
      </c>
      <c r="N26" s="373">
        <f t="shared" si="5"/>
        <v>0</v>
      </c>
      <c r="O26" s="373">
        <f t="shared" si="5"/>
        <v>0</v>
      </c>
      <c r="P26" s="373">
        <f t="shared" si="5"/>
        <v>0</v>
      </c>
      <c r="Q26" s="373">
        <f t="shared" si="5"/>
        <v>0</v>
      </c>
      <c r="R26" s="373">
        <f t="shared" si="5"/>
        <v>0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</row>
    <row r="27" spans="1:40" ht="17.25" customHeight="1">
      <c r="A27" s="363"/>
      <c r="B27" s="371"/>
      <c r="C27" s="366">
        <v>4210</v>
      </c>
      <c r="D27" s="367" t="s">
        <v>276</v>
      </c>
      <c r="E27" s="368">
        <f>F27+O27</f>
        <v>500</v>
      </c>
      <c r="F27" s="368">
        <f>G27+J27+K27+L27+M27+N27</f>
        <v>500</v>
      </c>
      <c r="G27" s="368">
        <f>H27+I27</f>
        <v>500</v>
      </c>
      <c r="H27" s="368"/>
      <c r="I27" s="369">
        <v>500</v>
      </c>
      <c r="J27" s="373"/>
      <c r="K27" s="373"/>
      <c r="L27" s="373"/>
      <c r="M27" s="373"/>
      <c r="N27" s="373"/>
      <c r="O27" s="373"/>
      <c r="P27" s="373"/>
      <c r="Q27" s="373"/>
      <c r="R27" s="373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</row>
    <row r="28" spans="1:40" ht="15.75" customHeight="1">
      <c r="A28" s="363"/>
      <c r="B28" s="371"/>
      <c r="C28" s="366">
        <v>4240</v>
      </c>
      <c r="D28" s="367" t="s">
        <v>277</v>
      </c>
      <c r="E28" s="368">
        <f>F28+O28</f>
        <v>0</v>
      </c>
      <c r="F28" s="368">
        <f>G28+J28+K28+L28+M28+N28</f>
        <v>0</v>
      </c>
      <c r="G28" s="368">
        <f>H28+I28</f>
        <v>0</v>
      </c>
      <c r="H28" s="368"/>
      <c r="I28" s="368"/>
      <c r="J28" s="373"/>
      <c r="K28" s="373"/>
      <c r="L28" s="373"/>
      <c r="M28" s="373"/>
      <c r="N28" s="373"/>
      <c r="O28" s="373"/>
      <c r="P28" s="373"/>
      <c r="Q28" s="373"/>
      <c r="R28" s="373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</row>
    <row r="29" spans="1:18" ht="17.25" customHeight="1">
      <c r="A29" s="365"/>
      <c r="B29" s="365"/>
      <c r="C29" s="366">
        <v>4300</v>
      </c>
      <c r="D29" s="367" t="s">
        <v>287</v>
      </c>
      <c r="E29" s="368">
        <f>F29+O29</f>
        <v>1600</v>
      </c>
      <c r="F29" s="368">
        <f>G29+J29+K29+L29+M29+N29</f>
        <v>1600</v>
      </c>
      <c r="G29" s="368">
        <f>H29+I29</f>
        <v>1600</v>
      </c>
      <c r="H29" s="368"/>
      <c r="I29" s="369">
        <v>1600</v>
      </c>
      <c r="J29" s="368"/>
      <c r="K29" s="368"/>
      <c r="L29" s="368"/>
      <c r="M29" s="368"/>
      <c r="N29" s="368"/>
      <c r="O29" s="368"/>
      <c r="P29" s="368"/>
      <c r="Q29" s="368"/>
      <c r="R29" s="368"/>
    </row>
    <row r="30" spans="1:18" ht="17.25" customHeight="1">
      <c r="A30" s="365"/>
      <c r="B30" s="365"/>
      <c r="C30" s="366">
        <v>4410</v>
      </c>
      <c r="D30" s="367" t="s">
        <v>290</v>
      </c>
      <c r="E30" s="368">
        <f>F30+O30</f>
        <v>1500</v>
      </c>
      <c r="F30" s="368">
        <f>G30+J30+K30+L30+M30+N30</f>
        <v>1500</v>
      </c>
      <c r="G30" s="368">
        <f>H30+I30</f>
        <v>1500</v>
      </c>
      <c r="H30" s="368"/>
      <c r="I30" s="369">
        <v>1500</v>
      </c>
      <c r="J30" s="368"/>
      <c r="K30" s="368"/>
      <c r="L30" s="368"/>
      <c r="M30" s="368"/>
      <c r="N30" s="368"/>
      <c r="O30" s="368"/>
      <c r="P30" s="368"/>
      <c r="Q30" s="368"/>
      <c r="R30" s="368"/>
    </row>
    <row r="31" spans="1:18" ht="27" customHeight="1">
      <c r="A31" s="365"/>
      <c r="B31" s="365"/>
      <c r="C31" s="366">
        <v>4700</v>
      </c>
      <c r="D31" s="367" t="s">
        <v>292</v>
      </c>
      <c r="E31" s="368">
        <f>F31+O31</f>
        <v>1000</v>
      </c>
      <c r="F31" s="368">
        <f>G31+J31+K31+L31+M31+N31</f>
        <v>1000</v>
      </c>
      <c r="G31" s="368">
        <f>H31+I31</f>
        <v>1000</v>
      </c>
      <c r="H31" s="368"/>
      <c r="I31" s="369">
        <v>1000</v>
      </c>
      <c r="J31" s="368"/>
      <c r="K31" s="368"/>
      <c r="L31" s="368"/>
      <c r="M31" s="368"/>
      <c r="N31" s="368"/>
      <c r="O31" s="368"/>
      <c r="P31" s="368"/>
      <c r="Q31" s="368"/>
      <c r="R31" s="368"/>
    </row>
    <row r="32" spans="1:18" ht="16.5" customHeight="1">
      <c r="A32" s="363"/>
      <c r="B32" s="374">
        <v>80148</v>
      </c>
      <c r="C32" s="375"/>
      <c r="D32" s="376" t="s">
        <v>410</v>
      </c>
      <c r="E32" s="377">
        <f aca="true" t="shared" si="6" ref="E32:R32">SUM(E33:E45)</f>
        <v>222112</v>
      </c>
      <c r="F32" s="377">
        <f t="shared" si="6"/>
        <v>222112</v>
      </c>
      <c r="G32" s="377">
        <f t="shared" si="6"/>
        <v>222112</v>
      </c>
      <c r="H32" s="377">
        <f t="shared" si="6"/>
        <v>0</v>
      </c>
      <c r="I32" s="377">
        <f t="shared" si="6"/>
        <v>222112</v>
      </c>
      <c r="J32" s="377">
        <f t="shared" si="6"/>
        <v>0</v>
      </c>
      <c r="K32" s="377">
        <f t="shared" si="6"/>
        <v>0</v>
      </c>
      <c r="L32" s="377">
        <f t="shared" si="6"/>
        <v>0</v>
      </c>
      <c r="M32" s="377">
        <f t="shared" si="6"/>
        <v>0</v>
      </c>
      <c r="N32" s="377">
        <f t="shared" si="6"/>
        <v>0</v>
      </c>
      <c r="O32" s="377">
        <f t="shared" si="6"/>
        <v>0</v>
      </c>
      <c r="P32" s="377">
        <f t="shared" si="6"/>
        <v>0</v>
      </c>
      <c r="Q32" s="377">
        <f t="shared" si="6"/>
        <v>0</v>
      </c>
      <c r="R32" s="377">
        <f t="shared" si="6"/>
        <v>0</v>
      </c>
    </row>
    <row r="33" spans="1:18" ht="17.25" customHeight="1">
      <c r="A33" s="365"/>
      <c r="B33" s="365"/>
      <c r="C33" s="366">
        <v>3020</v>
      </c>
      <c r="D33" s="367" t="s">
        <v>407</v>
      </c>
      <c r="E33" s="368">
        <f aca="true" t="shared" si="7" ref="E33:E45">F33+O33</f>
        <v>0</v>
      </c>
      <c r="F33" s="368">
        <f aca="true" t="shared" si="8" ref="F33:F45">G33+J33+K33+L33+M33+N33</f>
        <v>0</v>
      </c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</row>
    <row r="34" spans="1:18" ht="17.25" customHeight="1">
      <c r="A34" s="365"/>
      <c r="B34" s="365"/>
      <c r="C34" s="366">
        <v>4010</v>
      </c>
      <c r="D34" s="367" t="s">
        <v>265</v>
      </c>
      <c r="E34" s="368">
        <f t="shared" si="7"/>
        <v>0</v>
      </c>
      <c r="F34" s="368">
        <f t="shared" si="8"/>
        <v>0</v>
      </c>
      <c r="G34" s="368">
        <f aca="true" t="shared" si="9" ref="G34:G45">H34+I34</f>
        <v>0</v>
      </c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</row>
    <row r="35" spans="1:18" ht="17.25" customHeight="1">
      <c r="A35" s="365"/>
      <c r="B35" s="365"/>
      <c r="C35" s="366">
        <v>4040</v>
      </c>
      <c r="D35" s="367" t="s">
        <v>283</v>
      </c>
      <c r="E35" s="368">
        <f t="shared" si="7"/>
        <v>0</v>
      </c>
      <c r="F35" s="368">
        <f t="shared" si="8"/>
        <v>0</v>
      </c>
      <c r="G35" s="368">
        <f t="shared" si="9"/>
        <v>0</v>
      </c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</row>
    <row r="36" spans="1:18" ht="17.25" customHeight="1">
      <c r="A36" s="365"/>
      <c r="B36" s="365"/>
      <c r="C36" s="366">
        <v>4110</v>
      </c>
      <c r="D36" s="367" t="s">
        <v>284</v>
      </c>
      <c r="E36" s="368">
        <f t="shared" si="7"/>
        <v>0</v>
      </c>
      <c r="F36" s="368">
        <f t="shared" si="8"/>
        <v>0</v>
      </c>
      <c r="G36" s="368">
        <f t="shared" si="9"/>
        <v>0</v>
      </c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</row>
    <row r="37" spans="1:18" ht="17.25" customHeight="1">
      <c r="A37" s="365"/>
      <c r="B37" s="365"/>
      <c r="C37" s="366">
        <v>4120</v>
      </c>
      <c r="D37" s="367" t="s">
        <v>285</v>
      </c>
      <c r="E37" s="368">
        <f t="shared" si="7"/>
        <v>0</v>
      </c>
      <c r="F37" s="368">
        <f t="shared" si="8"/>
        <v>0</v>
      </c>
      <c r="G37" s="368">
        <f t="shared" si="9"/>
        <v>0</v>
      </c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</row>
    <row r="38" spans="1:18" ht="17.25" customHeight="1">
      <c r="A38" s="365"/>
      <c r="B38" s="365"/>
      <c r="C38" s="366">
        <v>4210</v>
      </c>
      <c r="D38" s="367" t="s">
        <v>276</v>
      </c>
      <c r="E38" s="368">
        <f t="shared" si="7"/>
        <v>0</v>
      </c>
      <c r="F38" s="368">
        <f t="shared" si="8"/>
        <v>0</v>
      </c>
      <c r="G38" s="368">
        <f t="shared" si="9"/>
        <v>0</v>
      </c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</row>
    <row r="39" spans="1:18" ht="17.25" customHeight="1">
      <c r="A39" s="365"/>
      <c r="B39" s="365"/>
      <c r="C39" s="366">
        <v>4220</v>
      </c>
      <c r="D39" s="367" t="s">
        <v>411</v>
      </c>
      <c r="E39" s="368">
        <f t="shared" si="7"/>
        <v>222112</v>
      </c>
      <c r="F39" s="368">
        <f t="shared" si="8"/>
        <v>222112</v>
      </c>
      <c r="G39" s="368">
        <f t="shared" si="9"/>
        <v>222112</v>
      </c>
      <c r="H39" s="368"/>
      <c r="I39" s="378">
        <v>222112</v>
      </c>
      <c r="J39" s="368"/>
      <c r="K39" s="368"/>
      <c r="L39" s="368"/>
      <c r="M39" s="368"/>
      <c r="N39" s="368"/>
      <c r="O39" s="368"/>
      <c r="P39" s="368"/>
      <c r="Q39" s="368"/>
      <c r="R39" s="368"/>
    </row>
    <row r="40" spans="1:18" ht="17.25" customHeight="1">
      <c r="A40" s="365"/>
      <c r="B40" s="365"/>
      <c r="C40" s="366">
        <v>4270</v>
      </c>
      <c r="D40" s="367" t="s">
        <v>231</v>
      </c>
      <c r="E40" s="368">
        <f t="shared" si="7"/>
        <v>0</v>
      </c>
      <c r="F40" s="368">
        <f t="shared" si="8"/>
        <v>0</v>
      </c>
      <c r="G40" s="368">
        <f t="shared" si="9"/>
        <v>0</v>
      </c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</row>
    <row r="41" spans="1:18" ht="17.25" customHeight="1">
      <c r="A41" s="365"/>
      <c r="B41" s="365"/>
      <c r="C41" s="366">
        <v>4280</v>
      </c>
      <c r="D41" s="367" t="s">
        <v>278</v>
      </c>
      <c r="E41" s="368">
        <f t="shared" si="7"/>
        <v>0</v>
      </c>
      <c r="F41" s="368">
        <f t="shared" si="8"/>
        <v>0</v>
      </c>
      <c r="G41" s="368">
        <f t="shared" si="9"/>
        <v>0</v>
      </c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  <row r="42" spans="1:18" ht="17.25" customHeight="1">
      <c r="A42" s="365"/>
      <c r="B42" s="365"/>
      <c r="C42" s="366">
        <v>4300</v>
      </c>
      <c r="D42" s="367" t="s">
        <v>287</v>
      </c>
      <c r="E42" s="368">
        <f t="shared" si="7"/>
        <v>0</v>
      </c>
      <c r="F42" s="368">
        <f t="shared" si="8"/>
        <v>0</v>
      </c>
      <c r="G42" s="368">
        <f t="shared" si="9"/>
        <v>0</v>
      </c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</row>
    <row r="43" spans="1:18" ht="17.25" customHeight="1">
      <c r="A43" s="365"/>
      <c r="B43" s="365"/>
      <c r="C43" s="366">
        <v>4410</v>
      </c>
      <c r="D43" s="367" t="s">
        <v>290</v>
      </c>
      <c r="E43" s="368">
        <f t="shared" si="7"/>
        <v>0</v>
      </c>
      <c r="F43" s="368">
        <f t="shared" si="8"/>
        <v>0</v>
      </c>
      <c r="G43" s="368">
        <f t="shared" si="9"/>
        <v>0</v>
      </c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</row>
    <row r="44" spans="1:18" ht="15.75" customHeight="1">
      <c r="A44" s="365"/>
      <c r="B44" s="365"/>
      <c r="C44" s="366">
        <v>4440</v>
      </c>
      <c r="D44" s="367" t="s">
        <v>279</v>
      </c>
      <c r="E44" s="368">
        <f t="shared" si="7"/>
        <v>0</v>
      </c>
      <c r="F44" s="368">
        <f t="shared" si="8"/>
        <v>0</v>
      </c>
      <c r="G44" s="368">
        <f t="shared" si="9"/>
        <v>0</v>
      </c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</row>
    <row r="45" spans="1:18" ht="27" customHeight="1">
      <c r="A45" s="365"/>
      <c r="B45" s="365"/>
      <c r="C45" s="366">
        <v>4700</v>
      </c>
      <c r="D45" s="367" t="s">
        <v>292</v>
      </c>
      <c r="E45" s="368">
        <f t="shared" si="7"/>
        <v>0</v>
      </c>
      <c r="F45" s="368">
        <f t="shared" si="8"/>
        <v>0</v>
      </c>
      <c r="G45" s="368">
        <f t="shared" si="9"/>
        <v>0</v>
      </c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</row>
    <row r="46" spans="1:18" ht="16.5" customHeight="1">
      <c r="A46" s="371"/>
      <c r="B46" s="371">
        <v>80195</v>
      </c>
      <c r="C46" s="372"/>
      <c r="D46" s="363" t="s">
        <v>30</v>
      </c>
      <c r="E46" s="373">
        <f aca="true" t="shared" si="10" ref="E46:R46">SUM(E47:E47)</f>
        <v>10995</v>
      </c>
      <c r="F46" s="373">
        <f t="shared" si="10"/>
        <v>10995</v>
      </c>
      <c r="G46" s="373">
        <f t="shared" si="10"/>
        <v>10995</v>
      </c>
      <c r="H46" s="373">
        <f t="shared" si="10"/>
        <v>0</v>
      </c>
      <c r="I46" s="373">
        <f t="shared" si="10"/>
        <v>10995</v>
      </c>
      <c r="J46" s="373">
        <f t="shared" si="10"/>
        <v>0</v>
      </c>
      <c r="K46" s="373">
        <f t="shared" si="10"/>
        <v>0</v>
      </c>
      <c r="L46" s="373">
        <f t="shared" si="10"/>
        <v>0</v>
      </c>
      <c r="M46" s="373">
        <f t="shared" si="10"/>
        <v>0</v>
      </c>
      <c r="N46" s="373">
        <f t="shared" si="10"/>
        <v>0</v>
      </c>
      <c r="O46" s="373">
        <f t="shared" si="10"/>
        <v>0</v>
      </c>
      <c r="P46" s="373">
        <f t="shared" si="10"/>
        <v>0</v>
      </c>
      <c r="Q46" s="373">
        <f t="shared" si="10"/>
        <v>0</v>
      </c>
      <c r="R46" s="373">
        <f t="shared" si="10"/>
        <v>0</v>
      </c>
    </row>
    <row r="47" spans="1:18" ht="15.75" customHeight="1">
      <c r="A47" s="365"/>
      <c r="B47" s="365"/>
      <c r="C47" s="366">
        <v>4440</v>
      </c>
      <c r="D47" s="367" t="s">
        <v>279</v>
      </c>
      <c r="E47" s="368">
        <f>F47+O47</f>
        <v>10995</v>
      </c>
      <c r="F47" s="368">
        <f>G47+J47+K47+L47+M47+N47</f>
        <v>10995</v>
      </c>
      <c r="G47" s="368">
        <f>H47+I47</f>
        <v>10995</v>
      </c>
      <c r="H47" s="368"/>
      <c r="I47" s="369">
        <v>10995</v>
      </c>
      <c r="J47" s="368"/>
      <c r="K47" s="368"/>
      <c r="L47" s="368"/>
      <c r="M47" s="368"/>
      <c r="N47" s="368"/>
      <c r="O47" s="368"/>
      <c r="P47" s="368"/>
      <c r="Q47" s="368"/>
      <c r="R47" s="368"/>
    </row>
    <row r="48" spans="5:18" ht="18" customHeight="1">
      <c r="E48" s="326"/>
      <c r="F48" s="326"/>
      <c r="G48" s="327"/>
      <c r="H48" s="328"/>
      <c r="I48" s="328"/>
      <c r="J48" s="329"/>
      <c r="K48" s="329"/>
      <c r="L48" s="329"/>
      <c r="M48" s="329"/>
      <c r="R48" s="328"/>
    </row>
    <row r="49" spans="5:18" ht="18" customHeight="1">
      <c r="E49" s="328"/>
      <c r="F49" s="328"/>
      <c r="G49" s="327"/>
      <c r="H49" s="328"/>
      <c r="I49" s="328"/>
      <c r="J49" s="329"/>
      <c r="K49" s="329"/>
      <c r="L49" s="329"/>
      <c r="M49" s="329"/>
      <c r="R49" s="328"/>
    </row>
    <row r="50" spans="5:18" ht="18" customHeight="1">
      <c r="E50" s="328"/>
      <c r="F50" s="328"/>
      <c r="G50" s="327"/>
      <c r="H50" s="328"/>
      <c r="I50" s="328"/>
      <c r="J50" s="329"/>
      <c r="K50" s="329"/>
      <c r="L50" s="329"/>
      <c r="M50" s="329"/>
      <c r="O50" s="329"/>
      <c r="P50" s="329"/>
      <c r="Q50" s="329"/>
      <c r="R50" s="328"/>
    </row>
    <row r="51" spans="5:18" ht="18" customHeight="1">
      <c r="E51" s="328"/>
      <c r="F51" s="328"/>
      <c r="G51" s="327"/>
      <c r="H51" s="328"/>
      <c r="I51" s="328"/>
      <c r="J51" s="329"/>
      <c r="K51" s="329"/>
      <c r="L51" s="329"/>
      <c r="M51" s="329"/>
      <c r="R51" s="328"/>
    </row>
    <row r="52" spans="5:18" ht="18" customHeight="1">
      <c r="E52" s="328"/>
      <c r="F52" s="328"/>
      <c r="G52" s="327"/>
      <c r="H52" s="328"/>
      <c r="I52" s="328"/>
      <c r="J52" s="329"/>
      <c r="K52" s="329"/>
      <c r="L52" s="329"/>
      <c r="M52" s="329"/>
      <c r="R52" s="328"/>
    </row>
    <row r="53" spans="5:18" ht="18" customHeight="1">
      <c r="E53" s="328"/>
      <c r="F53" s="328"/>
      <c r="G53" s="327"/>
      <c r="H53" s="328"/>
      <c r="I53" s="328"/>
      <c r="J53" s="329"/>
      <c r="K53" s="329"/>
      <c r="L53" s="329"/>
      <c r="M53" s="329"/>
      <c r="R53" s="328"/>
    </row>
    <row r="54" spans="5:18" ht="18" customHeight="1">
      <c r="E54" s="328"/>
      <c r="F54" s="328"/>
      <c r="G54" s="327"/>
      <c r="H54" s="328"/>
      <c r="I54" s="328"/>
      <c r="J54" s="329"/>
      <c r="K54" s="329"/>
      <c r="L54" s="329"/>
      <c r="M54" s="329"/>
      <c r="R54" s="328"/>
    </row>
    <row r="55" spans="5:18" ht="18" customHeight="1">
      <c r="E55" s="328"/>
      <c r="F55" s="328"/>
      <c r="G55" s="327"/>
      <c r="H55" s="328"/>
      <c r="I55" s="328"/>
      <c r="J55" s="329"/>
      <c r="K55" s="329"/>
      <c r="L55" s="329"/>
      <c r="M55" s="329"/>
      <c r="R55" s="328"/>
    </row>
    <row r="56" spans="5:18" ht="18" customHeight="1">
      <c r="E56" s="328"/>
      <c r="F56" s="328"/>
      <c r="G56" s="327"/>
      <c r="H56" s="328"/>
      <c r="I56" s="328"/>
      <c r="J56" s="329"/>
      <c r="K56" s="329"/>
      <c r="L56" s="329"/>
      <c r="M56" s="329"/>
      <c r="R56" s="328"/>
    </row>
    <row r="57" spans="5:18" ht="18" customHeight="1">
      <c r="E57" s="328"/>
      <c r="F57" s="328"/>
      <c r="G57" s="327"/>
      <c r="H57" s="328"/>
      <c r="I57" s="328"/>
      <c r="J57" s="329"/>
      <c r="K57" s="329"/>
      <c r="L57" s="329"/>
      <c r="M57" s="329"/>
      <c r="R57" s="328"/>
    </row>
    <row r="58" spans="5:18" ht="18" customHeight="1">
      <c r="E58" s="328"/>
      <c r="F58" s="328"/>
      <c r="G58" s="327"/>
      <c r="H58" s="328"/>
      <c r="I58" s="328"/>
      <c r="J58" s="329"/>
      <c r="K58" s="329"/>
      <c r="L58" s="329"/>
      <c r="M58" s="329"/>
      <c r="R58" s="328"/>
    </row>
    <row r="59" spans="5:18" ht="18" customHeight="1">
      <c r="E59" s="328"/>
      <c r="F59" s="328"/>
      <c r="G59" s="327"/>
      <c r="H59" s="328"/>
      <c r="I59" s="328"/>
      <c r="J59" s="329"/>
      <c r="K59" s="329"/>
      <c r="L59" s="329"/>
      <c r="M59" s="329"/>
      <c r="R59" s="328"/>
    </row>
    <row r="60" spans="5:18" ht="18" customHeight="1">
      <c r="E60" s="328"/>
      <c r="F60" s="328"/>
      <c r="G60" s="327"/>
      <c r="H60" s="328"/>
      <c r="I60" s="328"/>
      <c r="J60" s="329"/>
      <c r="K60" s="329"/>
      <c r="L60" s="329"/>
      <c r="M60" s="329"/>
      <c r="R60" s="328"/>
    </row>
    <row r="61" spans="5:18" ht="18" customHeight="1">
      <c r="E61" s="328"/>
      <c r="F61" s="328"/>
      <c r="G61" s="327"/>
      <c r="H61" s="328"/>
      <c r="I61" s="328"/>
      <c r="J61" s="329"/>
      <c r="K61" s="329"/>
      <c r="L61" s="329"/>
      <c r="M61" s="329"/>
      <c r="R61" s="328"/>
    </row>
    <row r="62" spans="5:18" ht="18" customHeight="1">
      <c r="E62" s="328"/>
      <c r="F62" s="328"/>
      <c r="G62" s="327"/>
      <c r="H62" s="328"/>
      <c r="I62" s="328"/>
      <c r="J62" s="329"/>
      <c r="K62" s="329"/>
      <c r="L62" s="329"/>
      <c r="M62" s="329"/>
      <c r="R62" s="328"/>
    </row>
    <row r="63" spans="5:18" ht="18" customHeight="1">
      <c r="E63" s="328"/>
      <c r="F63" s="328"/>
      <c r="G63" s="327"/>
      <c r="H63" s="328"/>
      <c r="I63" s="328"/>
      <c r="J63" s="329"/>
      <c r="K63" s="329"/>
      <c r="L63" s="329"/>
      <c r="M63" s="329"/>
      <c r="R63" s="328"/>
    </row>
    <row r="64" spans="5:18" ht="18" customHeight="1">
      <c r="E64" s="328"/>
      <c r="F64" s="328"/>
      <c r="G64" s="327"/>
      <c r="H64" s="328"/>
      <c r="I64" s="328"/>
      <c r="J64" s="329"/>
      <c r="K64" s="329"/>
      <c r="L64" s="329"/>
      <c r="M64" s="329"/>
      <c r="R64" s="328"/>
    </row>
    <row r="65" spans="5:18" ht="18" customHeight="1">
      <c r="E65" s="328"/>
      <c r="F65" s="328"/>
      <c r="G65" s="327"/>
      <c r="H65" s="328"/>
      <c r="I65" s="328"/>
      <c r="J65" s="329"/>
      <c r="K65" s="329"/>
      <c r="L65" s="329"/>
      <c r="M65" s="329"/>
      <c r="R65" s="328"/>
    </row>
    <row r="66" spans="5:18" ht="18" customHeight="1">
      <c r="E66" s="328"/>
      <c r="F66" s="328"/>
      <c r="G66" s="327"/>
      <c r="H66" s="328"/>
      <c r="I66" s="328"/>
      <c r="J66" s="329"/>
      <c r="K66" s="329"/>
      <c r="L66" s="329"/>
      <c r="M66" s="329"/>
      <c r="R66" s="328"/>
    </row>
    <row r="67" spans="5:18" ht="18" customHeight="1">
      <c r="E67" s="328"/>
      <c r="F67" s="328"/>
      <c r="G67" s="327"/>
      <c r="H67" s="328"/>
      <c r="I67" s="328"/>
      <c r="J67" s="329"/>
      <c r="K67" s="329"/>
      <c r="L67" s="329"/>
      <c r="M67" s="329"/>
      <c r="R67" s="328"/>
    </row>
    <row r="68" spans="5:18" ht="18" customHeight="1">
      <c r="E68" s="328"/>
      <c r="F68" s="328"/>
      <c r="G68" s="327"/>
      <c r="H68" s="328"/>
      <c r="I68" s="328"/>
      <c r="J68" s="329"/>
      <c r="K68" s="329"/>
      <c r="L68" s="329"/>
      <c r="M68" s="329"/>
      <c r="R68" s="328"/>
    </row>
    <row r="69" spans="5:18" ht="18" customHeight="1">
      <c r="E69" s="328"/>
      <c r="F69" s="328"/>
      <c r="G69" s="327"/>
      <c r="H69" s="328"/>
      <c r="I69" s="328"/>
      <c r="J69" s="329"/>
      <c r="K69" s="329"/>
      <c r="L69" s="329"/>
      <c r="M69" s="329"/>
      <c r="R69" s="328"/>
    </row>
    <row r="70" spans="5:18" ht="18" customHeight="1">
      <c r="E70" s="328"/>
      <c r="F70" s="328"/>
      <c r="G70" s="327"/>
      <c r="H70" s="328"/>
      <c r="I70" s="328"/>
      <c r="J70" s="329"/>
      <c r="K70" s="329"/>
      <c r="L70" s="329"/>
      <c r="M70" s="329"/>
      <c r="R70" s="328"/>
    </row>
    <row r="71" spans="5:18" ht="18" customHeight="1">
      <c r="E71" s="328"/>
      <c r="F71" s="328"/>
      <c r="G71" s="327"/>
      <c r="H71" s="328"/>
      <c r="I71" s="328"/>
      <c r="J71" s="329"/>
      <c r="K71" s="329"/>
      <c r="L71" s="329"/>
      <c r="M71" s="329"/>
      <c r="R71" s="328"/>
    </row>
    <row r="72" spans="5:18" ht="18" customHeight="1">
      <c r="E72" s="328"/>
      <c r="F72" s="328"/>
      <c r="G72" s="327"/>
      <c r="H72" s="328"/>
      <c r="I72" s="328"/>
      <c r="J72" s="329"/>
      <c r="K72" s="329"/>
      <c r="L72" s="329"/>
      <c r="M72" s="329"/>
      <c r="R72" s="328"/>
    </row>
    <row r="73" spans="5:18" ht="18" customHeight="1">
      <c r="E73" s="328"/>
      <c r="F73" s="328"/>
      <c r="G73" s="327"/>
      <c r="H73" s="328"/>
      <c r="I73" s="328"/>
      <c r="J73" s="329"/>
      <c r="K73" s="329"/>
      <c r="L73" s="329"/>
      <c r="M73" s="329"/>
      <c r="R73" s="328"/>
    </row>
    <row r="74" spans="5:18" ht="18" customHeight="1">
      <c r="E74" s="328"/>
      <c r="F74" s="328"/>
      <c r="G74" s="327"/>
      <c r="H74" s="328"/>
      <c r="I74" s="328"/>
      <c r="J74" s="329"/>
      <c r="K74" s="329"/>
      <c r="L74" s="329"/>
      <c r="M74" s="329"/>
      <c r="R74" s="328"/>
    </row>
    <row r="75" spans="5:18" ht="18" customHeight="1">
      <c r="E75" s="328"/>
      <c r="F75" s="328"/>
      <c r="H75" s="328"/>
      <c r="I75" s="328"/>
      <c r="R75" s="328"/>
    </row>
    <row r="76" spans="5:18" ht="18" customHeight="1">
      <c r="E76" s="328"/>
      <c r="F76" s="328"/>
      <c r="H76" s="328"/>
      <c r="I76" s="328"/>
      <c r="R76" s="328"/>
    </row>
    <row r="77" spans="5:18" ht="18" customHeight="1">
      <c r="E77" s="328"/>
      <c r="F77" s="328"/>
      <c r="H77" s="328"/>
      <c r="I77" s="328"/>
      <c r="R77" s="328"/>
    </row>
    <row r="78" spans="5:18" ht="18" customHeight="1">
      <c r="E78" s="328"/>
      <c r="F78" s="328"/>
      <c r="H78" s="328"/>
      <c r="I78" s="328"/>
      <c r="R78" s="328"/>
    </row>
    <row r="79" spans="5:18" ht="18" customHeight="1">
      <c r="E79" s="328"/>
      <c r="F79" s="328"/>
      <c r="H79" s="328"/>
      <c r="I79" s="328"/>
      <c r="R79" s="328"/>
    </row>
    <row r="80" spans="5:18" ht="18" customHeight="1">
      <c r="E80" s="328"/>
      <c r="F80" s="328"/>
      <c r="H80" s="328"/>
      <c r="I80" s="328"/>
      <c r="R80" s="328"/>
    </row>
    <row r="81" spans="5:18" ht="18" customHeight="1">
      <c r="E81" s="328"/>
      <c r="F81" s="328"/>
      <c r="H81" s="328"/>
      <c r="I81" s="328"/>
      <c r="R81" s="328"/>
    </row>
    <row r="82" spans="5:18" ht="18" customHeight="1">
      <c r="E82" s="328"/>
      <c r="F82" s="328"/>
      <c r="H82" s="328"/>
      <c r="I82" s="328"/>
      <c r="R82" s="328"/>
    </row>
    <row r="83" spans="5:18" ht="18" customHeight="1">
      <c r="E83" s="328"/>
      <c r="F83" s="328"/>
      <c r="I83" s="328"/>
      <c r="R83" s="328"/>
    </row>
    <row r="84" spans="5:18" ht="18" customHeight="1">
      <c r="E84" s="328"/>
      <c r="F84" s="328"/>
      <c r="I84" s="328"/>
      <c r="R84" s="328"/>
    </row>
    <row r="85" spans="5:18" ht="18" customHeight="1">
      <c r="E85" s="328"/>
      <c r="F85" s="328"/>
      <c r="I85" s="328"/>
      <c r="R85" s="328"/>
    </row>
    <row r="86" spans="5:18" ht="18" customHeight="1">
      <c r="E86" s="328"/>
      <c r="F86" s="328"/>
      <c r="I86" s="328"/>
      <c r="R86" s="328"/>
    </row>
    <row r="87" spans="5:18" ht="18" customHeight="1">
      <c r="E87" s="328"/>
      <c r="F87" s="328"/>
      <c r="I87" s="328"/>
      <c r="R87" s="328"/>
    </row>
    <row r="88" spans="5:18" ht="18" customHeight="1">
      <c r="E88" s="328"/>
      <c r="F88" s="328"/>
      <c r="I88" s="328"/>
      <c r="R88" s="328"/>
    </row>
    <row r="89" spans="5:18" ht="18" customHeight="1">
      <c r="E89" s="328"/>
      <c r="F89" s="328"/>
      <c r="I89" s="328"/>
      <c r="R89" s="328"/>
    </row>
    <row r="90" spans="5:18" ht="18" customHeight="1">
      <c r="E90" s="328"/>
      <c r="F90" s="328"/>
      <c r="I90" s="328"/>
      <c r="R90" s="328"/>
    </row>
    <row r="91" spans="5:18" ht="18" customHeight="1">
      <c r="E91" s="328"/>
      <c r="F91" s="328"/>
      <c r="I91" s="328"/>
      <c r="R91" s="328"/>
    </row>
    <row r="92" spans="5:18" ht="18" customHeight="1">
      <c r="E92" s="328"/>
      <c r="F92" s="328"/>
      <c r="I92" s="328"/>
      <c r="R92" s="328"/>
    </row>
    <row r="93" spans="5:18" ht="18" customHeight="1">
      <c r="E93" s="328"/>
      <c r="F93" s="328"/>
      <c r="I93" s="328"/>
      <c r="R93" s="328"/>
    </row>
    <row r="94" spans="5:18" ht="18" customHeight="1">
      <c r="E94" s="328"/>
      <c r="F94" s="328"/>
      <c r="I94" s="328"/>
      <c r="R94" s="328"/>
    </row>
    <row r="95" spans="5:18" ht="18" customHeight="1">
      <c r="E95" s="328"/>
      <c r="F95" s="328"/>
      <c r="I95" s="328"/>
      <c r="R95" s="328"/>
    </row>
    <row r="96" spans="5:18" ht="18" customHeight="1">
      <c r="E96" s="328"/>
      <c r="F96" s="328"/>
      <c r="I96" s="328"/>
      <c r="R96" s="328"/>
    </row>
    <row r="97" spans="5:18" ht="18" customHeight="1">
      <c r="E97" s="328"/>
      <c r="F97" s="328"/>
      <c r="I97" s="328"/>
      <c r="R97" s="328"/>
    </row>
    <row r="98" spans="5:18" ht="18" customHeight="1">
      <c r="E98" s="328"/>
      <c r="F98" s="328"/>
      <c r="I98" s="328"/>
      <c r="R98" s="328"/>
    </row>
    <row r="99" spans="5:18" ht="18" customHeight="1">
      <c r="E99" s="328"/>
      <c r="F99" s="328"/>
      <c r="I99" s="328"/>
      <c r="R99" s="328"/>
    </row>
    <row r="100" spans="5:18" ht="18" customHeight="1">
      <c r="E100" s="328"/>
      <c r="F100" s="328"/>
      <c r="I100" s="328"/>
      <c r="R100" s="328"/>
    </row>
    <row r="101" spans="5:18" ht="18" customHeight="1">
      <c r="E101" s="328"/>
      <c r="F101" s="328"/>
      <c r="I101" s="328"/>
      <c r="R101" s="328"/>
    </row>
    <row r="102" spans="5:18" ht="18" customHeight="1">
      <c r="E102" s="328"/>
      <c r="F102" s="328"/>
      <c r="I102" s="328"/>
      <c r="R102" s="328"/>
    </row>
    <row r="103" spans="5:18" ht="18" customHeight="1">
      <c r="E103" s="328"/>
      <c r="F103" s="328"/>
      <c r="I103" s="328"/>
      <c r="R103" s="328"/>
    </row>
    <row r="104" spans="5:18" ht="18" customHeight="1">
      <c r="E104" s="328"/>
      <c r="F104" s="328"/>
      <c r="I104" s="328"/>
      <c r="R104" s="328"/>
    </row>
    <row r="105" spans="5:18" ht="18" customHeight="1">
      <c r="E105" s="328"/>
      <c r="F105" s="328"/>
      <c r="I105" s="328"/>
      <c r="R105" s="328"/>
    </row>
    <row r="106" spans="5:18" ht="18" customHeight="1">
      <c r="E106" s="328"/>
      <c r="F106" s="328"/>
      <c r="I106" s="328"/>
      <c r="R106" s="328"/>
    </row>
    <row r="107" spans="5:18" ht="18" customHeight="1">
      <c r="E107" s="328"/>
      <c r="F107" s="328"/>
      <c r="I107" s="328"/>
      <c r="R107" s="328"/>
    </row>
    <row r="108" spans="5:18" ht="18" customHeight="1">
      <c r="E108" s="328"/>
      <c r="F108" s="328"/>
      <c r="I108" s="328"/>
      <c r="R108" s="328"/>
    </row>
    <row r="109" spans="5:18" ht="18" customHeight="1">
      <c r="E109" s="328"/>
      <c r="F109" s="328"/>
      <c r="I109" s="328"/>
      <c r="R109" s="328"/>
    </row>
    <row r="110" spans="5:18" ht="18" customHeight="1">
      <c r="E110" s="328"/>
      <c r="F110" s="328"/>
      <c r="I110" s="328"/>
      <c r="R110" s="328"/>
    </row>
    <row r="111" spans="5:18" ht="18" customHeight="1">
      <c r="E111" s="328"/>
      <c r="F111" s="328"/>
      <c r="I111" s="328"/>
      <c r="R111" s="328"/>
    </row>
    <row r="112" spans="5:18" ht="18" customHeight="1">
      <c r="E112" s="328"/>
      <c r="F112" s="328"/>
      <c r="I112" s="328"/>
      <c r="R112" s="328"/>
    </row>
    <row r="113" spans="5:18" ht="18" customHeight="1">
      <c r="E113" s="328"/>
      <c r="F113" s="328"/>
      <c r="I113" s="328"/>
      <c r="R113" s="328"/>
    </row>
    <row r="114" spans="5:18" ht="18" customHeight="1">
      <c r="E114" s="328"/>
      <c r="F114" s="328"/>
      <c r="I114" s="328"/>
      <c r="R114" s="328"/>
    </row>
    <row r="115" spans="5:18" ht="18" customHeight="1">
      <c r="E115" s="328"/>
      <c r="F115" s="328"/>
      <c r="I115" s="328"/>
      <c r="R115" s="328"/>
    </row>
    <row r="116" spans="5:18" ht="18" customHeight="1">
      <c r="E116" s="328"/>
      <c r="F116" s="328"/>
      <c r="I116" s="328"/>
      <c r="R116" s="328"/>
    </row>
    <row r="117" spans="5:18" ht="18" customHeight="1">
      <c r="E117" s="328"/>
      <c r="F117" s="328"/>
      <c r="I117" s="328"/>
      <c r="R117" s="328"/>
    </row>
    <row r="118" spans="5:18" ht="18" customHeight="1">
      <c r="E118" s="328"/>
      <c r="F118" s="328"/>
      <c r="I118" s="328"/>
      <c r="R118" s="328"/>
    </row>
    <row r="119" spans="5:18" ht="18" customHeight="1">
      <c r="E119" s="328"/>
      <c r="F119" s="328"/>
      <c r="I119" s="328"/>
      <c r="R119" s="328"/>
    </row>
    <row r="120" spans="5:18" ht="18" customHeight="1">
      <c r="E120" s="328"/>
      <c r="F120" s="328"/>
      <c r="I120" s="328"/>
      <c r="R120" s="328"/>
    </row>
    <row r="121" spans="5:18" ht="18" customHeight="1">
      <c r="E121" s="328"/>
      <c r="F121" s="328"/>
      <c r="I121" s="328"/>
      <c r="R121" s="328"/>
    </row>
    <row r="122" spans="5:18" ht="18" customHeight="1">
      <c r="E122" s="328"/>
      <c r="F122" s="328"/>
      <c r="I122" s="328"/>
      <c r="R122" s="328"/>
    </row>
    <row r="123" spans="5:18" ht="18" customHeight="1">
      <c r="E123" s="328"/>
      <c r="F123" s="328"/>
      <c r="I123" s="328"/>
      <c r="R123" s="328"/>
    </row>
    <row r="124" spans="5:18" ht="18" customHeight="1">
      <c r="E124" s="328"/>
      <c r="F124" s="328"/>
      <c r="I124" s="328"/>
      <c r="R124" s="328"/>
    </row>
    <row r="125" spans="5:18" ht="18" customHeight="1">
      <c r="E125" s="328"/>
      <c r="F125" s="328"/>
      <c r="I125" s="328"/>
      <c r="R125" s="328"/>
    </row>
    <row r="126" spans="5:18" ht="18" customHeight="1">
      <c r="E126" s="328"/>
      <c r="F126" s="328"/>
      <c r="I126" s="328"/>
      <c r="R126" s="328"/>
    </row>
    <row r="127" spans="5:18" ht="18" customHeight="1">
      <c r="E127" s="328"/>
      <c r="F127" s="328"/>
      <c r="I127" s="328"/>
      <c r="R127" s="328"/>
    </row>
    <row r="128" spans="5:18" ht="18" customHeight="1">
      <c r="E128" s="328"/>
      <c r="F128" s="328"/>
      <c r="I128" s="328"/>
      <c r="R128" s="328"/>
    </row>
    <row r="129" spans="5:18" ht="18" customHeight="1">
      <c r="E129" s="328"/>
      <c r="F129" s="328"/>
      <c r="I129" s="328"/>
      <c r="R129" s="328"/>
    </row>
    <row r="130" spans="5:18" ht="18" customHeight="1">
      <c r="E130" s="328"/>
      <c r="F130" s="328"/>
      <c r="I130" s="328"/>
      <c r="R130" s="328"/>
    </row>
    <row r="131" spans="5:18" ht="18" customHeight="1">
      <c r="E131" s="328"/>
      <c r="F131" s="328"/>
      <c r="I131" s="328"/>
      <c r="R131" s="328"/>
    </row>
    <row r="132" spans="5:18" ht="18" customHeight="1">
      <c r="E132" s="328"/>
      <c r="F132" s="328"/>
      <c r="I132" s="328"/>
      <c r="R132" s="328"/>
    </row>
    <row r="133" spans="5:18" ht="18" customHeight="1">
      <c r="E133" s="328"/>
      <c r="F133" s="328"/>
      <c r="I133" s="328"/>
      <c r="R133" s="328"/>
    </row>
    <row r="134" spans="5:18" ht="18" customHeight="1">
      <c r="E134" s="328"/>
      <c r="F134" s="328"/>
      <c r="I134" s="328"/>
      <c r="R134" s="328"/>
    </row>
    <row r="135" spans="5:18" ht="18" customHeight="1">
      <c r="E135" s="328"/>
      <c r="F135" s="328"/>
      <c r="I135" s="328"/>
      <c r="R135" s="328"/>
    </row>
    <row r="136" spans="5:18" ht="18" customHeight="1">
      <c r="E136" s="328"/>
      <c r="F136" s="328"/>
      <c r="I136" s="328"/>
      <c r="R136" s="328"/>
    </row>
    <row r="137" spans="5:18" ht="18" customHeight="1">
      <c r="E137" s="328"/>
      <c r="F137" s="328"/>
      <c r="I137" s="328"/>
      <c r="R137" s="328"/>
    </row>
    <row r="138" spans="5:18" ht="18" customHeight="1">
      <c r="E138" s="328"/>
      <c r="F138" s="328"/>
      <c r="I138" s="328"/>
      <c r="R138" s="328"/>
    </row>
    <row r="139" spans="5:18" ht="18" customHeight="1">
      <c r="E139" s="328"/>
      <c r="F139" s="328"/>
      <c r="I139" s="328"/>
      <c r="R139" s="328"/>
    </row>
    <row r="140" spans="5:18" ht="18" customHeight="1">
      <c r="E140" s="328"/>
      <c r="F140" s="328"/>
      <c r="I140" s="328"/>
      <c r="R140" s="328"/>
    </row>
    <row r="141" spans="5:18" ht="18" customHeight="1">
      <c r="E141" s="328"/>
      <c r="F141" s="328"/>
      <c r="I141" s="328"/>
      <c r="R141" s="328"/>
    </row>
    <row r="142" spans="5:18" ht="18" customHeight="1">
      <c r="E142" s="328"/>
      <c r="F142" s="328"/>
      <c r="I142" s="328"/>
      <c r="R142" s="328"/>
    </row>
    <row r="143" spans="5:18" ht="18" customHeight="1">
      <c r="E143" s="328"/>
      <c r="F143" s="328"/>
      <c r="I143" s="328"/>
      <c r="R143" s="328"/>
    </row>
    <row r="144" spans="5:18" ht="18" customHeight="1">
      <c r="E144" s="328"/>
      <c r="F144" s="328"/>
      <c r="I144" s="328"/>
      <c r="R144" s="328"/>
    </row>
    <row r="145" spans="5:18" ht="18" customHeight="1">
      <c r="E145" s="328"/>
      <c r="F145" s="328"/>
      <c r="I145" s="328"/>
      <c r="R145" s="328"/>
    </row>
    <row r="146" spans="5:18" ht="18" customHeight="1">
      <c r="E146" s="328"/>
      <c r="F146" s="328"/>
      <c r="I146" s="328"/>
      <c r="R146" s="328"/>
    </row>
    <row r="147" spans="5:18" ht="18" customHeight="1">
      <c r="E147" s="328"/>
      <c r="F147" s="328"/>
      <c r="I147" s="328"/>
      <c r="R147" s="328"/>
    </row>
    <row r="148" spans="5:18" ht="18" customHeight="1">
      <c r="E148" s="328"/>
      <c r="F148" s="328"/>
      <c r="I148" s="328"/>
      <c r="R148" s="328"/>
    </row>
    <row r="149" spans="5:18" ht="18" customHeight="1">
      <c r="E149" s="328"/>
      <c r="F149" s="328"/>
      <c r="I149" s="328"/>
      <c r="R149" s="328"/>
    </row>
    <row r="150" spans="5:18" ht="18" customHeight="1">
      <c r="E150" s="328"/>
      <c r="F150" s="328"/>
      <c r="I150" s="328"/>
      <c r="R150" s="328"/>
    </row>
    <row r="151" spans="5:18" ht="18" customHeight="1">
      <c r="E151" s="328"/>
      <c r="F151" s="328"/>
      <c r="I151" s="328"/>
      <c r="R151" s="328"/>
    </row>
    <row r="152" spans="5:18" ht="18" customHeight="1">
      <c r="E152" s="328"/>
      <c r="F152" s="328"/>
      <c r="I152" s="328"/>
      <c r="R152" s="328"/>
    </row>
    <row r="153" spans="5:18" ht="18" customHeight="1">
      <c r="E153" s="328"/>
      <c r="F153" s="328"/>
      <c r="I153" s="328"/>
      <c r="R153" s="328"/>
    </row>
    <row r="154" spans="5:18" ht="18" customHeight="1">
      <c r="E154" s="328"/>
      <c r="F154" s="328"/>
      <c r="I154" s="328"/>
      <c r="R154" s="328"/>
    </row>
    <row r="155" spans="5:18" ht="18" customHeight="1">
      <c r="E155" s="328"/>
      <c r="F155" s="328"/>
      <c r="I155" s="328"/>
      <c r="R155" s="328"/>
    </row>
    <row r="156" spans="5:18" ht="18" customHeight="1">
      <c r="E156" s="328"/>
      <c r="F156" s="328"/>
      <c r="I156" s="328"/>
      <c r="R156" s="328"/>
    </row>
    <row r="157" spans="5:18" ht="18" customHeight="1">
      <c r="E157" s="328"/>
      <c r="F157" s="328"/>
      <c r="I157" s="328"/>
      <c r="R157" s="328"/>
    </row>
    <row r="158" spans="5:18" ht="18" customHeight="1">
      <c r="E158" s="328"/>
      <c r="F158" s="328"/>
      <c r="I158" s="328"/>
      <c r="R158" s="328"/>
    </row>
    <row r="159" spans="5:18" ht="18" customHeight="1">
      <c r="E159" s="328"/>
      <c r="F159" s="328"/>
      <c r="I159" s="328"/>
      <c r="R159" s="328"/>
    </row>
    <row r="160" spans="5:18" ht="18" customHeight="1">
      <c r="E160" s="328"/>
      <c r="F160" s="328"/>
      <c r="I160" s="328"/>
      <c r="R160" s="328"/>
    </row>
    <row r="161" spans="5:18" ht="18" customHeight="1">
      <c r="E161" s="328"/>
      <c r="F161" s="328"/>
      <c r="I161" s="328"/>
      <c r="R161" s="328"/>
    </row>
    <row r="162" spans="5:18" ht="18" customHeight="1">
      <c r="E162" s="328"/>
      <c r="F162" s="328"/>
      <c r="I162" s="328"/>
      <c r="R162" s="328"/>
    </row>
    <row r="163" spans="5:18" ht="18" customHeight="1">
      <c r="E163" s="328"/>
      <c r="F163" s="328"/>
      <c r="I163" s="328"/>
      <c r="R163" s="328"/>
    </row>
    <row r="164" spans="5:18" ht="18" customHeight="1">
      <c r="E164" s="328"/>
      <c r="F164" s="328"/>
      <c r="I164" s="328"/>
      <c r="R164" s="328"/>
    </row>
    <row r="165" spans="5:18" ht="18" customHeight="1">
      <c r="E165" s="328"/>
      <c r="F165" s="328"/>
      <c r="I165" s="328"/>
      <c r="R165" s="328"/>
    </row>
    <row r="166" spans="5:18" ht="18" customHeight="1">
      <c r="E166" s="328"/>
      <c r="F166" s="328"/>
      <c r="I166" s="328"/>
      <c r="R166" s="328"/>
    </row>
    <row r="167" spans="5:18" ht="18" customHeight="1">
      <c r="E167" s="328"/>
      <c r="F167" s="328"/>
      <c r="I167" s="328"/>
      <c r="R167" s="328"/>
    </row>
    <row r="168" spans="5:18" ht="18" customHeight="1">
      <c r="E168" s="328"/>
      <c r="F168" s="328"/>
      <c r="I168" s="328"/>
      <c r="R168" s="328"/>
    </row>
    <row r="169" spans="5:18" ht="18" customHeight="1">
      <c r="E169" s="328"/>
      <c r="F169" s="328"/>
      <c r="I169" s="328"/>
      <c r="R169" s="328"/>
    </row>
    <row r="170" spans="5:18" ht="18" customHeight="1">
      <c r="E170" s="328"/>
      <c r="F170" s="328"/>
      <c r="I170" s="328"/>
      <c r="R170" s="328"/>
    </row>
    <row r="171" spans="5:18" ht="18" customHeight="1">
      <c r="E171" s="328"/>
      <c r="F171" s="328"/>
      <c r="I171" s="328"/>
      <c r="R171" s="328"/>
    </row>
    <row r="172" spans="5:18" ht="18" customHeight="1">
      <c r="E172" s="328"/>
      <c r="F172" s="328"/>
      <c r="I172" s="328"/>
      <c r="R172" s="328"/>
    </row>
    <row r="173" spans="5:18" ht="18" customHeight="1">
      <c r="E173" s="328"/>
      <c r="F173" s="328"/>
      <c r="I173" s="328"/>
      <c r="R173" s="328"/>
    </row>
    <row r="174" spans="5:18" ht="18" customHeight="1">
      <c r="E174" s="328"/>
      <c r="F174" s="328"/>
      <c r="I174" s="328"/>
      <c r="R174" s="328"/>
    </row>
    <row r="175" spans="5:18" ht="18" customHeight="1">
      <c r="E175" s="328"/>
      <c r="F175" s="328"/>
      <c r="I175" s="328"/>
      <c r="R175" s="328"/>
    </row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2" r:id="rId1"/>
  <headerFooter alignWithMargins="0">
    <oddHeader>&amp;R&amp;"Times New Roman,Normalny"&amp;12Załącznik Nr 18 do Uchwały  Nr III/12/2010 Rady Miejskiej w Barlinku z dnia 30 grudnia 2010</oddHeader>
    <oddFooter>&amp;C&amp;"Times New Roman,Normalny"&amp;12Strona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175"/>
  <sheetViews>
    <sheetView showGridLines="0" defaultGridColor="0" view="pageBreakPreview" zoomScaleSheetLayoutView="100" colorId="15" workbookViewId="0" topLeftCell="A1">
      <pane ySplit="6" topLeftCell="P7" activePane="bottomLeft" state="frozen"/>
      <selection pane="topLeft" activeCell="A1" sqref="A1"/>
      <selection pane="bottomLeft" activeCell="H10" sqref="H10"/>
    </sheetView>
  </sheetViews>
  <sheetFormatPr defaultColWidth="9.00390625" defaultRowHeight="18" customHeight="1"/>
  <cols>
    <col min="1" max="1" width="5.00390625" style="304" customWidth="1"/>
    <col min="2" max="2" width="7.25390625" style="304" customWidth="1"/>
    <col min="3" max="3" width="6.125" style="305" customWidth="1"/>
    <col min="4" max="4" width="44.875" style="306" customWidth="1"/>
    <col min="5" max="5" width="10.875" style="305" customWidth="1"/>
    <col min="6" max="6" width="11.25390625" style="305" customWidth="1"/>
    <col min="7" max="7" width="10.25390625" style="305" customWidth="1"/>
    <col min="8" max="8" width="11.75390625" style="305" customWidth="1"/>
    <col min="9" max="9" width="9.375" style="305" customWidth="1"/>
    <col min="10" max="10" width="7.375" style="305" customWidth="1"/>
    <col min="11" max="13" width="7.75390625" style="305" customWidth="1"/>
    <col min="14" max="14" width="6.625" style="305" customWidth="1"/>
    <col min="15" max="15" width="8.125" style="305" customWidth="1"/>
    <col min="16" max="16" width="8.75390625" style="305" customWidth="1"/>
    <col min="17" max="17" width="9.25390625" style="305" customWidth="1"/>
    <col min="18" max="18" width="7.875" style="305" customWidth="1"/>
    <col min="19" max="40" width="9.00390625" style="305" customWidth="1"/>
  </cols>
  <sheetData>
    <row r="1" spans="1:40" ht="31.5" customHeight="1">
      <c r="A1" s="551" t="s">
        <v>418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</row>
    <row r="2" spans="1:40" ht="13.5" customHeight="1">
      <c r="A2" s="552" t="s">
        <v>1</v>
      </c>
      <c r="B2" s="552" t="s">
        <v>21</v>
      </c>
      <c r="C2" s="552" t="s">
        <v>22</v>
      </c>
      <c r="D2" s="552" t="s">
        <v>186</v>
      </c>
      <c r="E2" s="552" t="s">
        <v>187</v>
      </c>
      <c r="F2" s="553" t="s">
        <v>188</v>
      </c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1:40" ht="13.5" customHeight="1">
      <c r="A3" s="552"/>
      <c r="B3" s="552"/>
      <c r="C3" s="552"/>
      <c r="D3" s="552"/>
      <c r="E3" s="552"/>
      <c r="F3" s="554" t="s">
        <v>177</v>
      </c>
      <c r="G3" s="555" t="s">
        <v>25</v>
      </c>
      <c r="H3" s="555"/>
      <c r="I3" s="555"/>
      <c r="J3" s="555"/>
      <c r="K3" s="555"/>
      <c r="L3" s="555"/>
      <c r="M3" s="555"/>
      <c r="N3" s="555"/>
      <c r="O3" s="542" t="s">
        <v>189</v>
      </c>
      <c r="P3" s="555" t="s">
        <v>25</v>
      </c>
      <c r="Q3" s="555"/>
      <c r="R3" s="555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</row>
    <row r="4" spans="1:40" ht="13.5" customHeight="1">
      <c r="A4" s="552"/>
      <c r="B4" s="552"/>
      <c r="C4" s="552"/>
      <c r="D4" s="552"/>
      <c r="E4" s="552"/>
      <c r="F4" s="554"/>
      <c r="G4" s="554" t="s">
        <v>190</v>
      </c>
      <c r="H4" s="555" t="s">
        <v>191</v>
      </c>
      <c r="I4" s="555"/>
      <c r="J4" s="542" t="s">
        <v>192</v>
      </c>
      <c r="K4" s="542" t="s">
        <v>193</v>
      </c>
      <c r="L4" s="542" t="s">
        <v>200</v>
      </c>
      <c r="M4" s="542" t="s">
        <v>194</v>
      </c>
      <c r="N4" s="542" t="s">
        <v>195</v>
      </c>
      <c r="O4" s="542"/>
      <c r="P4" s="542" t="s">
        <v>196</v>
      </c>
      <c r="Q4" s="233" t="s">
        <v>25</v>
      </c>
      <c r="R4" s="542" t="s">
        <v>197</v>
      </c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</row>
    <row r="5" spans="1:40" ht="109.5" customHeight="1">
      <c r="A5" s="552"/>
      <c r="B5" s="552"/>
      <c r="C5" s="552"/>
      <c r="D5" s="552"/>
      <c r="E5" s="552"/>
      <c r="F5" s="554"/>
      <c r="G5" s="554"/>
      <c r="H5" s="232" t="s">
        <v>198</v>
      </c>
      <c r="I5" s="232" t="s">
        <v>199</v>
      </c>
      <c r="J5" s="542"/>
      <c r="K5" s="542"/>
      <c r="L5" s="542"/>
      <c r="M5" s="542"/>
      <c r="N5" s="542"/>
      <c r="O5" s="542"/>
      <c r="P5" s="542"/>
      <c r="Q5" s="234" t="s">
        <v>200</v>
      </c>
      <c r="R5" s="542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</row>
    <row r="6" spans="1:40" ht="12" customHeight="1">
      <c r="A6" s="345">
        <v>1</v>
      </c>
      <c r="B6" s="345">
        <v>2</v>
      </c>
      <c r="C6" s="345">
        <v>3</v>
      </c>
      <c r="D6" s="345">
        <v>4</v>
      </c>
      <c r="E6" s="345">
        <v>5</v>
      </c>
      <c r="F6" s="345">
        <v>6</v>
      </c>
      <c r="G6" s="345">
        <v>7</v>
      </c>
      <c r="H6" s="345">
        <v>8</v>
      </c>
      <c r="I6" s="345">
        <v>9</v>
      </c>
      <c r="J6" s="345">
        <v>10</v>
      </c>
      <c r="K6" s="345">
        <v>11</v>
      </c>
      <c r="L6" s="345">
        <v>12</v>
      </c>
      <c r="M6" s="345">
        <v>13</v>
      </c>
      <c r="N6" s="345">
        <v>14</v>
      </c>
      <c r="O6" s="345">
        <v>15</v>
      </c>
      <c r="P6" s="345">
        <v>16</v>
      </c>
      <c r="Q6" s="345">
        <v>17</v>
      </c>
      <c r="R6" s="345">
        <v>18</v>
      </c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</row>
    <row r="7" spans="1:40" ht="16.5" customHeight="1">
      <c r="A7" s="310">
        <v>801</v>
      </c>
      <c r="B7" s="310"/>
      <c r="C7" s="310"/>
      <c r="D7" s="310" t="s">
        <v>115</v>
      </c>
      <c r="E7" s="311">
        <f aca="true" t="shared" si="0" ref="E7:R7">E8+E26+E32+E46</f>
        <v>2148929</v>
      </c>
      <c r="F7" s="311">
        <f t="shared" si="0"/>
        <v>2148929</v>
      </c>
      <c r="G7" s="311">
        <f t="shared" si="0"/>
        <v>2143985</v>
      </c>
      <c r="H7" s="311">
        <f t="shared" si="0"/>
        <v>1548913</v>
      </c>
      <c r="I7" s="311">
        <f t="shared" si="0"/>
        <v>595072</v>
      </c>
      <c r="J7" s="311">
        <f t="shared" si="0"/>
        <v>0</v>
      </c>
      <c r="K7" s="311">
        <f t="shared" si="0"/>
        <v>4944</v>
      </c>
      <c r="L7" s="311">
        <f t="shared" si="0"/>
        <v>0</v>
      </c>
      <c r="M7" s="311">
        <f t="shared" si="0"/>
        <v>0</v>
      </c>
      <c r="N7" s="311">
        <f t="shared" si="0"/>
        <v>0</v>
      </c>
      <c r="O7" s="311">
        <f t="shared" si="0"/>
        <v>0</v>
      </c>
      <c r="P7" s="311">
        <f t="shared" si="0"/>
        <v>0</v>
      </c>
      <c r="Q7" s="311">
        <f t="shared" si="0"/>
        <v>0</v>
      </c>
      <c r="R7" s="311">
        <f t="shared" si="0"/>
        <v>0</v>
      </c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</row>
    <row r="8" spans="1:40" s="381" customFormat="1" ht="16.5" customHeight="1">
      <c r="A8" s="371"/>
      <c r="B8" s="371">
        <v>80104</v>
      </c>
      <c r="C8" s="371"/>
      <c r="D8" s="363" t="s">
        <v>280</v>
      </c>
      <c r="E8" s="379">
        <f aca="true" t="shared" si="1" ref="E8:E25">F8+O8</f>
        <v>1705220</v>
      </c>
      <c r="F8" s="373">
        <f aca="true" t="shared" si="2" ref="F8:R8">SUM(F9:F25)</f>
        <v>1705220</v>
      </c>
      <c r="G8" s="373">
        <f t="shared" si="2"/>
        <v>1700776</v>
      </c>
      <c r="H8" s="373">
        <f t="shared" si="2"/>
        <v>1420322</v>
      </c>
      <c r="I8" s="373">
        <f t="shared" si="2"/>
        <v>280454</v>
      </c>
      <c r="J8" s="373">
        <f t="shared" si="2"/>
        <v>0</v>
      </c>
      <c r="K8" s="373">
        <f t="shared" si="2"/>
        <v>4444</v>
      </c>
      <c r="L8" s="373">
        <f t="shared" si="2"/>
        <v>0</v>
      </c>
      <c r="M8" s="373">
        <f t="shared" si="2"/>
        <v>0</v>
      </c>
      <c r="N8" s="373">
        <f t="shared" si="2"/>
        <v>0</v>
      </c>
      <c r="O8" s="373">
        <f t="shared" si="2"/>
        <v>0</v>
      </c>
      <c r="P8" s="373">
        <f t="shared" si="2"/>
        <v>0</v>
      </c>
      <c r="Q8" s="373">
        <f t="shared" si="2"/>
        <v>0</v>
      </c>
      <c r="R8" s="373">
        <f t="shared" si="2"/>
        <v>0</v>
      </c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</row>
    <row r="9" spans="1:40" ht="17.25" customHeight="1">
      <c r="A9" s="382"/>
      <c r="B9" s="382"/>
      <c r="C9" s="383">
        <v>3020</v>
      </c>
      <c r="D9" s="317" t="s">
        <v>407</v>
      </c>
      <c r="E9" s="330">
        <f t="shared" si="1"/>
        <v>4444</v>
      </c>
      <c r="F9" s="330">
        <f aca="true" t="shared" si="3" ref="F9:F25">G9+J9+K9+L9+M9+N9</f>
        <v>4444</v>
      </c>
      <c r="G9" s="330">
        <f aca="true" t="shared" si="4" ref="G9:G25">H9+I9</f>
        <v>0</v>
      </c>
      <c r="H9" s="330"/>
      <c r="I9" s="330"/>
      <c r="J9" s="330"/>
      <c r="K9" s="330">
        <v>4444</v>
      </c>
      <c r="L9" s="330"/>
      <c r="M9" s="330"/>
      <c r="N9" s="330"/>
      <c r="O9" s="330"/>
      <c r="P9" s="330"/>
      <c r="Q9" s="330"/>
      <c r="R9" s="330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</row>
    <row r="10" spans="1:40" ht="17.25" customHeight="1">
      <c r="A10" s="382"/>
      <c r="B10" s="382"/>
      <c r="C10" s="383">
        <v>4010</v>
      </c>
      <c r="D10" s="317" t="s">
        <v>265</v>
      </c>
      <c r="E10" s="330">
        <f t="shared" si="1"/>
        <v>1092768</v>
      </c>
      <c r="F10" s="330">
        <f t="shared" si="3"/>
        <v>1092768</v>
      </c>
      <c r="G10" s="330">
        <f t="shared" si="4"/>
        <v>1092768</v>
      </c>
      <c r="H10" s="330">
        <f>(586533+43557+96117+9000+600+13200+5480)+(330060+1800+1491+3408+1522)</f>
        <v>1092768</v>
      </c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</row>
    <row r="11" spans="1:40" ht="17.25" customHeight="1">
      <c r="A11" s="382"/>
      <c r="B11" s="382"/>
      <c r="C11" s="383">
        <v>4040</v>
      </c>
      <c r="D11" s="317" t="s">
        <v>283</v>
      </c>
      <c r="E11" s="330">
        <f t="shared" si="1"/>
        <v>107335</v>
      </c>
      <c r="F11" s="330">
        <f t="shared" si="3"/>
        <v>107335</v>
      </c>
      <c r="G11" s="330">
        <f t="shared" si="4"/>
        <v>107335</v>
      </c>
      <c r="H11" s="330">
        <v>107335</v>
      </c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</row>
    <row r="12" spans="1:40" ht="17.25" customHeight="1">
      <c r="A12" s="382"/>
      <c r="B12" s="382"/>
      <c r="C12" s="383">
        <v>4110</v>
      </c>
      <c r="D12" s="317" t="s">
        <v>284</v>
      </c>
      <c r="E12" s="330">
        <f t="shared" si="1"/>
        <v>190816</v>
      </c>
      <c r="F12" s="330">
        <f t="shared" si="3"/>
        <v>190816</v>
      </c>
      <c r="G12" s="330">
        <f t="shared" si="4"/>
        <v>190816</v>
      </c>
      <c r="H12" s="330">
        <v>190816</v>
      </c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</row>
    <row r="13" spans="1:40" ht="17.25" customHeight="1">
      <c r="A13" s="382"/>
      <c r="B13" s="382"/>
      <c r="C13" s="383">
        <v>4120</v>
      </c>
      <c r="D13" s="317" t="s">
        <v>285</v>
      </c>
      <c r="E13" s="330">
        <f t="shared" si="1"/>
        <v>29403</v>
      </c>
      <c r="F13" s="330">
        <f t="shared" si="3"/>
        <v>29403</v>
      </c>
      <c r="G13" s="330">
        <f t="shared" si="4"/>
        <v>29403</v>
      </c>
      <c r="H13" s="330">
        <v>29403</v>
      </c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</row>
    <row r="14" spans="1:40" ht="17.25" customHeight="1">
      <c r="A14" s="382"/>
      <c r="B14" s="382"/>
      <c r="C14" s="383">
        <v>4210</v>
      </c>
      <c r="D14" s="317" t="s">
        <v>276</v>
      </c>
      <c r="E14" s="330">
        <f t="shared" si="1"/>
        <v>25600</v>
      </c>
      <c r="F14" s="330">
        <f t="shared" si="3"/>
        <v>25600</v>
      </c>
      <c r="G14" s="330">
        <f t="shared" si="4"/>
        <v>25600</v>
      </c>
      <c r="H14" s="330"/>
      <c r="I14" s="330">
        <f>25000+600</f>
        <v>25600</v>
      </c>
      <c r="J14" s="330"/>
      <c r="K14" s="330"/>
      <c r="L14" s="330"/>
      <c r="M14" s="330"/>
      <c r="N14" s="330"/>
      <c r="O14" s="330"/>
      <c r="P14" s="330"/>
      <c r="Q14" s="330"/>
      <c r="R14" s="330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</row>
    <row r="15" spans="1:40" ht="15.75" customHeight="1">
      <c r="A15" s="382"/>
      <c r="B15" s="382"/>
      <c r="C15" s="383">
        <v>4240</v>
      </c>
      <c r="D15" s="317" t="s">
        <v>277</v>
      </c>
      <c r="E15" s="330">
        <f t="shared" si="1"/>
        <v>6000</v>
      </c>
      <c r="F15" s="330">
        <f t="shared" si="3"/>
        <v>6000</v>
      </c>
      <c r="G15" s="330">
        <f t="shared" si="4"/>
        <v>6000</v>
      </c>
      <c r="H15" s="330"/>
      <c r="I15" s="330">
        <v>6000</v>
      </c>
      <c r="J15" s="330"/>
      <c r="K15" s="330"/>
      <c r="L15" s="330"/>
      <c r="M15" s="330"/>
      <c r="N15" s="330"/>
      <c r="O15" s="330"/>
      <c r="P15" s="330"/>
      <c r="Q15" s="330"/>
      <c r="R15" s="330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</row>
    <row r="16" spans="1:40" ht="17.25" customHeight="1">
      <c r="A16" s="382"/>
      <c r="B16" s="382"/>
      <c r="C16" s="383">
        <v>4260</v>
      </c>
      <c r="D16" s="317" t="s">
        <v>286</v>
      </c>
      <c r="E16" s="330">
        <f t="shared" si="1"/>
        <v>142000</v>
      </c>
      <c r="F16" s="330">
        <f t="shared" si="3"/>
        <v>142000</v>
      </c>
      <c r="G16" s="330">
        <f t="shared" si="4"/>
        <v>142000</v>
      </c>
      <c r="H16" s="330"/>
      <c r="I16" s="330">
        <v>142000</v>
      </c>
      <c r="J16" s="330"/>
      <c r="K16" s="330"/>
      <c r="L16" s="330"/>
      <c r="M16" s="330"/>
      <c r="N16" s="330"/>
      <c r="O16" s="330"/>
      <c r="P16" s="330"/>
      <c r="Q16" s="330"/>
      <c r="R16" s="330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</row>
    <row r="17" spans="1:40" ht="17.25" customHeight="1">
      <c r="A17" s="382"/>
      <c r="B17" s="382"/>
      <c r="C17" s="383">
        <v>4270</v>
      </c>
      <c r="D17" s="317" t="s">
        <v>231</v>
      </c>
      <c r="E17" s="330">
        <f t="shared" si="1"/>
        <v>10000</v>
      </c>
      <c r="F17" s="330">
        <f t="shared" si="3"/>
        <v>10000</v>
      </c>
      <c r="G17" s="330">
        <f t="shared" si="4"/>
        <v>10000</v>
      </c>
      <c r="H17" s="330"/>
      <c r="I17" s="330">
        <v>10000</v>
      </c>
      <c r="J17" s="330"/>
      <c r="K17" s="330"/>
      <c r="L17" s="330"/>
      <c r="M17" s="330"/>
      <c r="N17" s="330"/>
      <c r="O17" s="330"/>
      <c r="P17" s="330"/>
      <c r="Q17" s="330"/>
      <c r="R17" s="330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</row>
    <row r="18" spans="1:40" ht="17.25" customHeight="1">
      <c r="A18" s="382"/>
      <c r="B18" s="382"/>
      <c r="C18" s="383">
        <v>4280</v>
      </c>
      <c r="D18" s="317" t="s">
        <v>278</v>
      </c>
      <c r="E18" s="330">
        <f t="shared" si="1"/>
        <v>1600</v>
      </c>
      <c r="F18" s="330">
        <f t="shared" si="3"/>
        <v>1600</v>
      </c>
      <c r="G18" s="330">
        <f t="shared" si="4"/>
        <v>1600</v>
      </c>
      <c r="H18" s="330"/>
      <c r="I18" s="330">
        <v>1600</v>
      </c>
      <c r="J18" s="330"/>
      <c r="K18" s="330"/>
      <c r="L18" s="330"/>
      <c r="M18" s="330"/>
      <c r="N18" s="330"/>
      <c r="O18" s="330"/>
      <c r="P18" s="330"/>
      <c r="Q18" s="330"/>
      <c r="R18" s="330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</row>
    <row r="19" spans="1:40" ht="17.25" customHeight="1">
      <c r="A19" s="382"/>
      <c r="B19" s="382"/>
      <c r="C19" s="383">
        <v>4300</v>
      </c>
      <c r="D19" s="317" t="s">
        <v>287</v>
      </c>
      <c r="E19" s="330">
        <f t="shared" si="1"/>
        <v>18244</v>
      </c>
      <c r="F19" s="330">
        <f t="shared" si="3"/>
        <v>18244</v>
      </c>
      <c r="G19" s="330">
        <f t="shared" si="4"/>
        <v>18244</v>
      </c>
      <c r="H19" s="330"/>
      <c r="I19" s="330">
        <f>17887+357</f>
        <v>18244</v>
      </c>
      <c r="J19" s="330"/>
      <c r="K19" s="330"/>
      <c r="L19" s="330"/>
      <c r="M19" s="330"/>
      <c r="N19" s="330"/>
      <c r="O19" s="330"/>
      <c r="P19" s="330"/>
      <c r="Q19" s="330"/>
      <c r="R19" s="330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</row>
    <row r="20" spans="1:40" ht="17.25" customHeight="1">
      <c r="A20" s="382"/>
      <c r="B20" s="382"/>
      <c r="C20" s="383">
        <v>4350</v>
      </c>
      <c r="D20" s="317" t="s">
        <v>288</v>
      </c>
      <c r="E20" s="330">
        <f t="shared" si="1"/>
        <v>1435</v>
      </c>
      <c r="F20" s="330">
        <f t="shared" si="3"/>
        <v>1435</v>
      </c>
      <c r="G20" s="330">
        <f t="shared" si="4"/>
        <v>1435</v>
      </c>
      <c r="H20" s="330"/>
      <c r="I20" s="330">
        <v>1435</v>
      </c>
      <c r="J20" s="330"/>
      <c r="K20" s="330"/>
      <c r="L20" s="330"/>
      <c r="M20" s="330"/>
      <c r="N20" s="330"/>
      <c r="O20" s="330"/>
      <c r="P20" s="330"/>
      <c r="Q20" s="330"/>
      <c r="R20" s="330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</row>
    <row r="21" spans="1:40" ht="27" customHeight="1">
      <c r="A21" s="382"/>
      <c r="B21" s="382"/>
      <c r="C21" s="383">
        <v>4370</v>
      </c>
      <c r="D21" s="317" t="s">
        <v>409</v>
      </c>
      <c r="E21" s="330">
        <f t="shared" si="1"/>
        <v>2400</v>
      </c>
      <c r="F21" s="330">
        <f t="shared" si="3"/>
        <v>2400</v>
      </c>
      <c r="G21" s="330">
        <f t="shared" si="4"/>
        <v>2400</v>
      </c>
      <c r="H21" s="330"/>
      <c r="I21" s="330">
        <v>2400</v>
      </c>
      <c r="J21" s="330"/>
      <c r="K21" s="330"/>
      <c r="L21" s="330"/>
      <c r="M21" s="330"/>
      <c r="N21" s="330"/>
      <c r="O21" s="330"/>
      <c r="P21" s="330"/>
      <c r="Q21" s="330"/>
      <c r="R21" s="330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</row>
    <row r="22" spans="1:40" ht="17.25" customHeight="1">
      <c r="A22" s="382"/>
      <c r="B22" s="382"/>
      <c r="C22" s="383">
        <v>4410</v>
      </c>
      <c r="D22" s="317" t="s">
        <v>290</v>
      </c>
      <c r="E22" s="330">
        <f t="shared" si="1"/>
        <v>800</v>
      </c>
      <c r="F22" s="330">
        <f t="shared" si="3"/>
        <v>800</v>
      </c>
      <c r="G22" s="330">
        <f t="shared" si="4"/>
        <v>800</v>
      </c>
      <c r="H22" s="330"/>
      <c r="I22" s="330">
        <v>800</v>
      </c>
      <c r="J22" s="330"/>
      <c r="K22" s="330"/>
      <c r="L22" s="330"/>
      <c r="M22" s="330"/>
      <c r="N22" s="330"/>
      <c r="O22" s="330"/>
      <c r="P22" s="330"/>
      <c r="Q22" s="330"/>
      <c r="R22" s="330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</row>
    <row r="23" spans="1:40" ht="17.25" customHeight="1">
      <c r="A23" s="382"/>
      <c r="B23" s="382"/>
      <c r="C23" s="383">
        <v>4430</v>
      </c>
      <c r="D23" s="317" t="s">
        <v>291</v>
      </c>
      <c r="E23" s="330">
        <f t="shared" si="1"/>
        <v>1500</v>
      </c>
      <c r="F23" s="330">
        <f t="shared" si="3"/>
        <v>1500</v>
      </c>
      <c r="G23" s="330">
        <f t="shared" si="4"/>
        <v>1500</v>
      </c>
      <c r="H23" s="330"/>
      <c r="I23" s="330">
        <v>1500</v>
      </c>
      <c r="J23" s="330"/>
      <c r="K23" s="330"/>
      <c r="L23" s="330"/>
      <c r="M23" s="330"/>
      <c r="N23" s="330"/>
      <c r="O23" s="330"/>
      <c r="P23" s="330"/>
      <c r="Q23" s="330"/>
      <c r="R23" s="330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</row>
    <row r="24" spans="1:40" ht="15.75" customHeight="1">
      <c r="A24" s="382"/>
      <c r="B24" s="382"/>
      <c r="C24" s="383">
        <v>4440</v>
      </c>
      <c r="D24" s="317" t="s">
        <v>279</v>
      </c>
      <c r="E24" s="330">
        <f t="shared" si="1"/>
        <v>69375</v>
      </c>
      <c r="F24" s="330">
        <f t="shared" si="3"/>
        <v>69375</v>
      </c>
      <c r="G24" s="330">
        <f t="shared" si="4"/>
        <v>69375</v>
      </c>
      <c r="H24" s="330"/>
      <c r="I24" s="330">
        <v>69375</v>
      </c>
      <c r="J24" s="330"/>
      <c r="K24" s="330"/>
      <c r="L24" s="330"/>
      <c r="M24" s="330"/>
      <c r="N24" s="330"/>
      <c r="O24" s="330"/>
      <c r="P24" s="330"/>
      <c r="Q24" s="330"/>
      <c r="R24" s="330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</row>
    <row r="25" spans="1:40" ht="27" customHeight="1">
      <c r="A25" s="382"/>
      <c r="B25" s="382"/>
      <c r="C25" s="383">
        <v>4700</v>
      </c>
      <c r="D25" s="317" t="s">
        <v>292</v>
      </c>
      <c r="E25" s="330">
        <f t="shared" si="1"/>
        <v>1500</v>
      </c>
      <c r="F25" s="330">
        <f t="shared" si="3"/>
        <v>1500</v>
      </c>
      <c r="G25" s="330">
        <f t="shared" si="4"/>
        <v>1500</v>
      </c>
      <c r="H25" s="330"/>
      <c r="I25" s="330">
        <v>1500</v>
      </c>
      <c r="J25" s="330"/>
      <c r="K25" s="330"/>
      <c r="L25" s="330"/>
      <c r="M25" s="330"/>
      <c r="N25" s="330"/>
      <c r="O25" s="330"/>
      <c r="P25" s="330"/>
      <c r="Q25" s="330"/>
      <c r="R25" s="330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</row>
    <row r="26" spans="1:40" ht="16.5" customHeight="1">
      <c r="A26" s="313"/>
      <c r="B26" s="312">
        <v>80146</v>
      </c>
      <c r="C26" s="319"/>
      <c r="D26" s="313" t="s">
        <v>299</v>
      </c>
      <c r="E26" s="314">
        <f aca="true" t="shared" si="5" ref="E26:R26">SUM(E27:E31)</f>
        <v>4800</v>
      </c>
      <c r="F26" s="314">
        <f t="shared" si="5"/>
        <v>4800</v>
      </c>
      <c r="G26" s="314">
        <f t="shared" si="5"/>
        <v>4800</v>
      </c>
      <c r="H26" s="314">
        <f t="shared" si="5"/>
        <v>0</v>
      </c>
      <c r="I26" s="314">
        <f t="shared" si="5"/>
        <v>4800</v>
      </c>
      <c r="J26" s="314">
        <f t="shared" si="5"/>
        <v>0</v>
      </c>
      <c r="K26" s="314">
        <f t="shared" si="5"/>
        <v>0</v>
      </c>
      <c r="L26" s="314">
        <f t="shared" si="5"/>
        <v>0</v>
      </c>
      <c r="M26" s="314">
        <f t="shared" si="5"/>
        <v>0</v>
      </c>
      <c r="N26" s="314">
        <f t="shared" si="5"/>
        <v>0</v>
      </c>
      <c r="O26" s="314">
        <f t="shared" si="5"/>
        <v>0</v>
      </c>
      <c r="P26" s="314">
        <f t="shared" si="5"/>
        <v>0</v>
      </c>
      <c r="Q26" s="314">
        <f t="shared" si="5"/>
        <v>0</v>
      </c>
      <c r="R26" s="314">
        <f t="shared" si="5"/>
        <v>0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</row>
    <row r="27" spans="1:18" ht="17.25" customHeight="1">
      <c r="A27" s="382"/>
      <c r="B27" s="382"/>
      <c r="C27" s="383">
        <v>4210</v>
      </c>
      <c r="D27" s="317" t="s">
        <v>276</v>
      </c>
      <c r="E27" s="330">
        <f>F27+O27</f>
        <v>0</v>
      </c>
      <c r="F27" s="330">
        <f>G27+J27+K27+L27+M27+N27</f>
        <v>0</v>
      </c>
      <c r="G27" s="330">
        <f>H27+I27</f>
        <v>0</v>
      </c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</row>
    <row r="28" spans="1:18" ht="15.75" customHeight="1">
      <c r="A28" s="382"/>
      <c r="B28" s="382"/>
      <c r="C28" s="383">
        <v>4240</v>
      </c>
      <c r="D28" s="317" t="s">
        <v>277</v>
      </c>
      <c r="E28" s="330">
        <f>F28+O28</f>
        <v>0</v>
      </c>
      <c r="F28" s="330">
        <f>G28+J28+K28+L28+M28+N28</f>
        <v>0</v>
      </c>
      <c r="G28" s="330">
        <f>H28+I28</f>
        <v>0</v>
      </c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</row>
    <row r="29" spans="1:18" ht="17.25" customHeight="1">
      <c r="A29" s="382"/>
      <c r="B29" s="382"/>
      <c r="C29" s="383">
        <v>4300</v>
      </c>
      <c r="D29" s="317" t="s">
        <v>287</v>
      </c>
      <c r="E29" s="330">
        <f>F29+O29</f>
        <v>2500</v>
      </c>
      <c r="F29" s="330">
        <f>G29+J29+K29+L29+M29+N29</f>
        <v>2500</v>
      </c>
      <c r="G29" s="330">
        <f>H29+I29</f>
        <v>2500</v>
      </c>
      <c r="H29" s="330"/>
      <c r="I29" s="330">
        <v>2500</v>
      </c>
      <c r="J29" s="330"/>
      <c r="K29" s="330"/>
      <c r="L29" s="330"/>
      <c r="M29" s="330"/>
      <c r="N29" s="330"/>
      <c r="O29" s="330"/>
      <c r="P29" s="330"/>
      <c r="Q29" s="330"/>
      <c r="R29" s="330"/>
    </row>
    <row r="30" spans="1:18" ht="17.25" customHeight="1">
      <c r="A30" s="382"/>
      <c r="B30" s="382"/>
      <c r="C30" s="383">
        <v>4410</v>
      </c>
      <c r="D30" s="317" t="s">
        <v>290</v>
      </c>
      <c r="E30" s="330">
        <f>F30+O30</f>
        <v>1300</v>
      </c>
      <c r="F30" s="330">
        <f>G30+J30+K30+L30+M30+N30</f>
        <v>1300</v>
      </c>
      <c r="G30" s="330">
        <f>H30+I30</f>
        <v>1300</v>
      </c>
      <c r="H30" s="330"/>
      <c r="I30" s="330">
        <v>1300</v>
      </c>
      <c r="J30" s="330"/>
      <c r="K30" s="330"/>
      <c r="L30" s="330"/>
      <c r="M30" s="330"/>
      <c r="N30" s="330"/>
      <c r="O30" s="330"/>
      <c r="P30" s="330"/>
      <c r="Q30" s="330"/>
      <c r="R30" s="330"/>
    </row>
    <row r="31" spans="1:18" ht="27" customHeight="1">
      <c r="A31" s="382"/>
      <c r="B31" s="382"/>
      <c r="C31" s="383">
        <v>4700</v>
      </c>
      <c r="D31" s="317" t="s">
        <v>292</v>
      </c>
      <c r="E31" s="330">
        <f>F31+O31</f>
        <v>1000</v>
      </c>
      <c r="F31" s="330">
        <f>G31+J31+K31+L31+M31+N31</f>
        <v>1000</v>
      </c>
      <c r="G31" s="330">
        <f>H31+I31</f>
        <v>1000</v>
      </c>
      <c r="H31" s="330"/>
      <c r="I31" s="330">
        <v>1000</v>
      </c>
      <c r="J31" s="330"/>
      <c r="K31" s="330"/>
      <c r="L31" s="330"/>
      <c r="M31" s="330"/>
      <c r="N31" s="330"/>
      <c r="O31" s="330"/>
      <c r="P31" s="330"/>
      <c r="Q31" s="330"/>
      <c r="R31" s="330"/>
    </row>
    <row r="32" spans="1:18" ht="16.5" customHeight="1">
      <c r="A32" s="313"/>
      <c r="B32" s="322">
        <v>80148</v>
      </c>
      <c r="C32" s="323"/>
      <c r="D32" s="324" t="s">
        <v>410</v>
      </c>
      <c r="E32" s="325">
        <f aca="true" t="shared" si="6" ref="E32:R32">SUM(E33:E45)</f>
        <v>428174</v>
      </c>
      <c r="F32" s="325">
        <f t="shared" si="6"/>
        <v>428174</v>
      </c>
      <c r="G32" s="325">
        <f t="shared" si="6"/>
        <v>427674</v>
      </c>
      <c r="H32" s="325">
        <f t="shared" si="6"/>
        <v>128591</v>
      </c>
      <c r="I32" s="325">
        <f t="shared" si="6"/>
        <v>299083</v>
      </c>
      <c r="J32" s="325">
        <f t="shared" si="6"/>
        <v>0</v>
      </c>
      <c r="K32" s="325">
        <f t="shared" si="6"/>
        <v>500</v>
      </c>
      <c r="L32" s="325">
        <f t="shared" si="6"/>
        <v>0</v>
      </c>
      <c r="M32" s="325">
        <f t="shared" si="6"/>
        <v>0</v>
      </c>
      <c r="N32" s="325">
        <f t="shared" si="6"/>
        <v>0</v>
      </c>
      <c r="O32" s="325">
        <f t="shared" si="6"/>
        <v>0</v>
      </c>
      <c r="P32" s="325">
        <f t="shared" si="6"/>
        <v>0</v>
      </c>
      <c r="Q32" s="325">
        <f t="shared" si="6"/>
        <v>0</v>
      </c>
      <c r="R32" s="325">
        <f t="shared" si="6"/>
        <v>0</v>
      </c>
    </row>
    <row r="33" spans="1:18" ht="17.25" customHeight="1">
      <c r="A33" s="382"/>
      <c r="B33" s="382"/>
      <c r="C33" s="383">
        <v>3020</v>
      </c>
      <c r="D33" s="317" t="s">
        <v>407</v>
      </c>
      <c r="E33" s="330">
        <f aca="true" t="shared" si="7" ref="E33:E45">F33+O33</f>
        <v>500</v>
      </c>
      <c r="F33" s="330">
        <f aca="true" t="shared" si="8" ref="F33:F45">G33+J33+K33+L33+M33+N33</f>
        <v>500</v>
      </c>
      <c r="G33" s="330"/>
      <c r="H33" s="330"/>
      <c r="I33" s="330"/>
      <c r="J33" s="330"/>
      <c r="K33" s="330">
        <v>500</v>
      </c>
      <c r="L33" s="330"/>
      <c r="M33" s="330"/>
      <c r="N33" s="330"/>
      <c r="O33" s="330"/>
      <c r="P33" s="330"/>
      <c r="Q33" s="330"/>
      <c r="R33" s="330"/>
    </row>
    <row r="34" spans="1:18" ht="17.25" customHeight="1">
      <c r="A34" s="382"/>
      <c r="B34" s="382"/>
      <c r="C34" s="383">
        <v>4010</v>
      </c>
      <c r="D34" s="317" t="s">
        <v>265</v>
      </c>
      <c r="E34" s="330">
        <f t="shared" si="7"/>
        <v>99723</v>
      </c>
      <c r="F34" s="330">
        <f t="shared" si="8"/>
        <v>99723</v>
      </c>
      <c r="G34" s="330">
        <f aca="true" t="shared" si="9" ref="G34:G45">H34+I34</f>
        <v>99723</v>
      </c>
      <c r="H34" s="330">
        <f>76680+13043+10000</f>
        <v>99723</v>
      </c>
      <c r="I34" s="330"/>
      <c r="J34" s="330"/>
      <c r="K34" s="330"/>
      <c r="L34" s="330"/>
      <c r="M34" s="330"/>
      <c r="N34" s="330"/>
      <c r="O34" s="330"/>
      <c r="P34" s="330"/>
      <c r="Q34" s="330"/>
      <c r="R34" s="330"/>
    </row>
    <row r="35" spans="1:18" ht="17.25" customHeight="1">
      <c r="A35" s="382"/>
      <c r="B35" s="382"/>
      <c r="C35" s="383">
        <v>4040</v>
      </c>
      <c r="D35" s="317" t="s">
        <v>283</v>
      </c>
      <c r="E35" s="330">
        <f t="shared" si="7"/>
        <v>8930</v>
      </c>
      <c r="F35" s="330">
        <f t="shared" si="8"/>
        <v>8930</v>
      </c>
      <c r="G35" s="330">
        <f t="shared" si="9"/>
        <v>8930</v>
      </c>
      <c r="H35" s="330">
        <v>8930</v>
      </c>
      <c r="I35" s="330"/>
      <c r="J35" s="330"/>
      <c r="K35" s="330"/>
      <c r="L35" s="330"/>
      <c r="M35" s="330"/>
      <c r="N35" s="330"/>
      <c r="O35" s="330"/>
      <c r="P35" s="330"/>
      <c r="Q35" s="330"/>
      <c r="R35" s="330"/>
    </row>
    <row r="36" spans="1:18" ht="17.25" customHeight="1">
      <c r="A36" s="382"/>
      <c r="B36" s="382"/>
      <c r="C36" s="383">
        <v>4110</v>
      </c>
      <c r="D36" s="317" t="s">
        <v>284</v>
      </c>
      <c r="E36" s="330">
        <f t="shared" si="7"/>
        <v>17276</v>
      </c>
      <c r="F36" s="330">
        <f t="shared" si="8"/>
        <v>17276</v>
      </c>
      <c r="G36" s="330">
        <f t="shared" si="9"/>
        <v>17276</v>
      </c>
      <c r="H36" s="330">
        <v>17276</v>
      </c>
      <c r="I36" s="330"/>
      <c r="J36" s="330"/>
      <c r="K36" s="330"/>
      <c r="L36" s="330"/>
      <c r="M36" s="330"/>
      <c r="N36" s="330"/>
      <c r="O36" s="330"/>
      <c r="P36" s="330"/>
      <c r="Q36" s="330"/>
      <c r="R36" s="330"/>
    </row>
    <row r="37" spans="1:18" ht="17.25" customHeight="1">
      <c r="A37" s="382"/>
      <c r="B37" s="382"/>
      <c r="C37" s="383">
        <v>4120</v>
      </c>
      <c r="D37" s="317" t="s">
        <v>285</v>
      </c>
      <c r="E37" s="330">
        <f t="shared" si="7"/>
        <v>2662</v>
      </c>
      <c r="F37" s="330">
        <f t="shared" si="8"/>
        <v>2662</v>
      </c>
      <c r="G37" s="330">
        <f t="shared" si="9"/>
        <v>2662</v>
      </c>
      <c r="H37" s="330">
        <v>2662</v>
      </c>
      <c r="I37" s="330"/>
      <c r="J37" s="330"/>
      <c r="K37" s="330"/>
      <c r="L37" s="330"/>
      <c r="M37" s="330"/>
      <c r="N37" s="330"/>
      <c r="O37" s="330"/>
      <c r="P37" s="330"/>
      <c r="Q37" s="330"/>
      <c r="R37" s="330"/>
    </row>
    <row r="38" spans="1:18" ht="17.25" customHeight="1">
      <c r="A38" s="382"/>
      <c r="B38" s="382"/>
      <c r="C38" s="383">
        <v>4210</v>
      </c>
      <c r="D38" s="317" t="s">
        <v>276</v>
      </c>
      <c r="E38" s="330">
        <f t="shared" si="7"/>
        <v>9000</v>
      </c>
      <c r="F38" s="330">
        <f t="shared" si="8"/>
        <v>9000</v>
      </c>
      <c r="G38" s="330">
        <f t="shared" si="9"/>
        <v>9000</v>
      </c>
      <c r="H38" s="330"/>
      <c r="I38" s="330">
        <v>9000</v>
      </c>
      <c r="J38" s="330"/>
      <c r="K38" s="330"/>
      <c r="L38" s="330"/>
      <c r="M38" s="330"/>
      <c r="N38" s="330"/>
      <c r="O38" s="330"/>
      <c r="P38" s="330"/>
      <c r="Q38" s="330"/>
      <c r="R38" s="330"/>
    </row>
    <row r="39" spans="1:18" ht="17.25" customHeight="1">
      <c r="A39" s="382"/>
      <c r="B39" s="382"/>
      <c r="C39" s="383">
        <v>4220</v>
      </c>
      <c r="D39" s="317" t="s">
        <v>411</v>
      </c>
      <c r="E39" s="330">
        <f t="shared" si="7"/>
        <v>283000</v>
      </c>
      <c r="F39" s="330">
        <f t="shared" si="8"/>
        <v>283000</v>
      </c>
      <c r="G39" s="330">
        <f t="shared" si="9"/>
        <v>283000</v>
      </c>
      <c r="H39" s="330"/>
      <c r="I39" s="330">
        <v>283000</v>
      </c>
      <c r="J39" s="330"/>
      <c r="K39" s="330"/>
      <c r="L39" s="330"/>
      <c r="M39" s="330"/>
      <c r="N39" s="330"/>
      <c r="O39" s="330"/>
      <c r="P39" s="330"/>
      <c r="Q39" s="330"/>
      <c r="R39" s="330"/>
    </row>
    <row r="40" spans="1:18" ht="17.25" customHeight="1">
      <c r="A40" s="382"/>
      <c r="B40" s="382"/>
      <c r="C40" s="383">
        <v>4270</v>
      </c>
      <c r="D40" s="317" t="s">
        <v>231</v>
      </c>
      <c r="E40" s="330">
        <f t="shared" si="7"/>
        <v>1000</v>
      </c>
      <c r="F40" s="330">
        <f t="shared" si="8"/>
        <v>1000</v>
      </c>
      <c r="G40" s="330">
        <f t="shared" si="9"/>
        <v>1000</v>
      </c>
      <c r="H40" s="330"/>
      <c r="I40" s="330">
        <v>1000</v>
      </c>
      <c r="J40" s="330"/>
      <c r="K40" s="330"/>
      <c r="L40" s="330"/>
      <c r="M40" s="330"/>
      <c r="N40" s="330"/>
      <c r="O40" s="330"/>
      <c r="P40" s="330"/>
      <c r="Q40" s="330"/>
      <c r="R40" s="330"/>
    </row>
    <row r="41" spans="1:18" ht="17.25" customHeight="1">
      <c r="A41" s="382"/>
      <c r="B41" s="382"/>
      <c r="C41" s="383">
        <v>4280</v>
      </c>
      <c r="D41" s="317" t="s">
        <v>278</v>
      </c>
      <c r="E41" s="330">
        <f t="shared" si="7"/>
        <v>200</v>
      </c>
      <c r="F41" s="330">
        <f t="shared" si="8"/>
        <v>200</v>
      </c>
      <c r="G41" s="330">
        <f t="shared" si="9"/>
        <v>200</v>
      </c>
      <c r="H41" s="330"/>
      <c r="I41" s="330">
        <v>200</v>
      </c>
      <c r="J41" s="330"/>
      <c r="K41" s="330"/>
      <c r="L41" s="330"/>
      <c r="M41" s="330"/>
      <c r="N41" s="330"/>
      <c r="O41" s="330"/>
      <c r="P41" s="330"/>
      <c r="Q41" s="330"/>
      <c r="R41" s="330"/>
    </row>
    <row r="42" spans="1:18" ht="17.25" customHeight="1">
      <c r="A42" s="382"/>
      <c r="B42" s="382"/>
      <c r="C42" s="383">
        <v>4300</v>
      </c>
      <c r="D42" s="317" t="s">
        <v>287</v>
      </c>
      <c r="E42" s="330">
        <f t="shared" si="7"/>
        <v>350</v>
      </c>
      <c r="F42" s="330">
        <f t="shared" si="8"/>
        <v>350</v>
      </c>
      <c r="G42" s="330">
        <f t="shared" si="9"/>
        <v>350</v>
      </c>
      <c r="H42" s="330"/>
      <c r="I42" s="330">
        <v>350</v>
      </c>
      <c r="J42" s="330"/>
      <c r="K42" s="330"/>
      <c r="L42" s="330"/>
      <c r="M42" s="330"/>
      <c r="N42" s="330"/>
      <c r="O42" s="330"/>
      <c r="P42" s="330"/>
      <c r="Q42" s="330"/>
      <c r="R42" s="330"/>
    </row>
    <row r="43" spans="1:18" ht="17.25" customHeight="1">
      <c r="A43" s="382"/>
      <c r="B43" s="382"/>
      <c r="C43" s="383">
        <v>4410</v>
      </c>
      <c r="D43" s="317" t="s">
        <v>290</v>
      </c>
      <c r="E43" s="330">
        <f t="shared" si="7"/>
        <v>300</v>
      </c>
      <c r="F43" s="330">
        <f t="shared" si="8"/>
        <v>300</v>
      </c>
      <c r="G43" s="330">
        <f t="shared" si="9"/>
        <v>300</v>
      </c>
      <c r="H43" s="330"/>
      <c r="I43" s="330">
        <v>300</v>
      </c>
      <c r="J43" s="330"/>
      <c r="K43" s="330"/>
      <c r="L43" s="330"/>
      <c r="M43" s="330"/>
      <c r="N43" s="330"/>
      <c r="O43" s="330"/>
      <c r="P43" s="330"/>
      <c r="Q43" s="330"/>
      <c r="R43" s="330"/>
    </row>
    <row r="44" spans="1:18" ht="15.75" customHeight="1">
      <c r="A44" s="382"/>
      <c r="B44" s="382"/>
      <c r="C44" s="383">
        <v>4440</v>
      </c>
      <c r="D44" s="317" t="s">
        <v>279</v>
      </c>
      <c r="E44" s="330">
        <f t="shared" si="7"/>
        <v>4233</v>
      </c>
      <c r="F44" s="330">
        <f t="shared" si="8"/>
        <v>4233</v>
      </c>
      <c r="G44" s="330">
        <f t="shared" si="9"/>
        <v>4233</v>
      </c>
      <c r="H44" s="330"/>
      <c r="I44" s="330">
        <v>4233</v>
      </c>
      <c r="J44" s="330"/>
      <c r="K44" s="330"/>
      <c r="L44" s="330"/>
      <c r="M44" s="330"/>
      <c r="N44" s="330"/>
      <c r="O44" s="330"/>
      <c r="P44" s="330"/>
      <c r="Q44" s="330"/>
      <c r="R44" s="330"/>
    </row>
    <row r="45" spans="1:18" ht="27" customHeight="1">
      <c r="A45" s="382"/>
      <c r="B45" s="382"/>
      <c r="C45" s="383">
        <v>4700</v>
      </c>
      <c r="D45" s="317" t="s">
        <v>292</v>
      </c>
      <c r="E45" s="330">
        <f t="shared" si="7"/>
        <v>1000</v>
      </c>
      <c r="F45" s="330">
        <f t="shared" si="8"/>
        <v>1000</v>
      </c>
      <c r="G45" s="330">
        <f t="shared" si="9"/>
        <v>1000</v>
      </c>
      <c r="H45" s="330"/>
      <c r="I45" s="330">
        <v>1000</v>
      </c>
      <c r="J45" s="330"/>
      <c r="K45" s="330"/>
      <c r="L45" s="330"/>
      <c r="M45" s="330"/>
      <c r="N45" s="330"/>
      <c r="O45" s="330"/>
      <c r="P45" s="330"/>
      <c r="Q45" s="330"/>
      <c r="R45" s="330"/>
    </row>
    <row r="46" spans="1:18" ht="16.5" customHeight="1">
      <c r="A46" s="312"/>
      <c r="B46" s="312">
        <v>80195</v>
      </c>
      <c r="C46" s="319"/>
      <c r="D46" s="313" t="s">
        <v>30</v>
      </c>
      <c r="E46" s="314">
        <f aca="true" t="shared" si="10" ref="E46:R46">SUM(E47:E47)</f>
        <v>10735</v>
      </c>
      <c r="F46" s="314">
        <f t="shared" si="10"/>
        <v>10735</v>
      </c>
      <c r="G46" s="314">
        <f t="shared" si="10"/>
        <v>10735</v>
      </c>
      <c r="H46" s="314">
        <f t="shared" si="10"/>
        <v>0</v>
      </c>
      <c r="I46" s="314">
        <f t="shared" si="10"/>
        <v>10735</v>
      </c>
      <c r="J46" s="314">
        <f t="shared" si="10"/>
        <v>0</v>
      </c>
      <c r="K46" s="314">
        <f t="shared" si="10"/>
        <v>0</v>
      </c>
      <c r="L46" s="314">
        <f t="shared" si="10"/>
        <v>0</v>
      </c>
      <c r="M46" s="314">
        <f t="shared" si="10"/>
        <v>0</v>
      </c>
      <c r="N46" s="314">
        <f t="shared" si="10"/>
        <v>0</v>
      </c>
      <c r="O46" s="314">
        <f t="shared" si="10"/>
        <v>0</v>
      </c>
      <c r="P46" s="314">
        <f t="shared" si="10"/>
        <v>0</v>
      </c>
      <c r="Q46" s="314">
        <f t="shared" si="10"/>
        <v>0</v>
      </c>
      <c r="R46" s="314">
        <f t="shared" si="10"/>
        <v>0</v>
      </c>
    </row>
    <row r="47" spans="1:18" ht="15.75" customHeight="1">
      <c r="A47" s="382"/>
      <c r="B47" s="382"/>
      <c r="C47" s="384">
        <v>4440</v>
      </c>
      <c r="D47" s="317" t="s">
        <v>279</v>
      </c>
      <c r="E47" s="330">
        <f>F47+O47</f>
        <v>10735</v>
      </c>
      <c r="F47" s="330">
        <f>G47+J47+K47+L47+M47+N47</f>
        <v>10735</v>
      </c>
      <c r="G47" s="330">
        <f>H47+I47</f>
        <v>10735</v>
      </c>
      <c r="H47" s="330"/>
      <c r="I47" s="330">
        <v>10735</v>
      </c>
      <c r="J47" s="330"/>
      <c r="K47" s="330"/>
      <c r="L47" s="330"/>
      <c r="M47" s="330"/>
      <c r="N47" s="330"/>
      <c r="O47" s="330"/>
      <c r="P47" s="330"/>
      <c r="Q47" s="330"/>
      <c r="R47" s="330"/>
    </row>
    <row r="48" spans="5:18" ht="18" customHeight="1">
      <c r="E48" s="326"/>
      <c r="F48" s="326"/>
      <c r="G48" s="327"/>
      <c r="H48" s="328"/>
      <c r="I48" s="328"/>
      <c r="J48" s="329"/>
      <c r="K48" s="329"/>
      <c r="L48" s="329"/>
      <c r="M48" s="329"/>
      <c r="R48" s="328"/>
    </row>
    <row r="49" spans="5:18" ht="18" customHeight="1">
      <c r="E49" s="328"/>
      <c r="F49" s="328"/>
      <c r="G49" s="327"/>
      <c r="H49" s="328"/>
      <c r="I49" s="328"/>
      <c r="J49" s="329"/>
      <c r="K49" s="329"/>
      <c r="L49" s="329"/>
      <c r="M49" s="329"/>
      <c r="R49" s="328"/>
    </row>
    <row r="50" spans="5:18" ht="18" customHeight="1">
      <c r="E50" s="328"/>
      <c r="F50" s="328"/>
      <c r="G50" s="327"/>
      <c r="H50" s="328"/>
      <c r="I50" s="328"/>
      <c r="J50" s="329"/>
      <c r="K50" s="329"/>
      <c r="L50" s="329"/>
      <c r="M50" s="329"/>
      <c r="O50" s="329"/>
      <c r="P50" s="329"/>
      <c r="Q50" s="329"/>
      <c r="R50" s="328"/>
    </row>
    <row r="51" spans="5:18" ht="18" customHeight="1">
      <c r="E51" s="328"/>
      <c r="F51" s="328"/>
      <c r="G51" s="327"/>
      <c r="H51" s="328"/>
      <c r="I51" s="328"/>
      <c r="J51" s="329"/>
      <c r="K51" s="329"/>
      <c r="L51" s="329"/>
      <c r="M51" s="329"/>
      <c r="R51" s="328"/>
    </row>
    <row r="52" spans="5:18" ht="18" customHeight="1">
      <c r="E52" s="328"/>
      <c r="F52" s="328"/>
      <c r="G52" s="327"/>
      <c r="H52" s="328"/>
      <c r="I52" s="328"/>
      <c r="J52" s="329"/>
      <c r="K52" s="329"/>
      <c r="L52" s="329"/>
      <c r="M52" s="329"/>
      <c r="R52" s="328"/>
    </row>
    <row r="53" spans="5:18" ht="18" customHeight="1">
      <c r="E53" s="328"/>
      <c r="F53" s="328"/>
      <c r="G53" s="327"/>
      <c r="H53" s="328"/>
      <c r="I53" s="328"/>
      <c r="J53" s="329"/>
      <c r="K53" s="329"/>
      <c r="L53" s="329"/>
      <c r="M53" s="329"/>
      <c r="R53" s="328"/>
    </row>
    <row r="54" spans="5:18" ht="18" customHeight="1">
      <c r="E54" s="328"/>
      <c r="F54" s="328"/>
      <c r="G54" s="327"/>
      <c r="H54" s="328"/>
      <c r="I54" s="328"/>
      <c r="J54" s="329"/>
      <c r="K54" s="329"/>
      <c r="L54" s="329"/>
      <c r="M54" s="329"/>
      <c r="R54" s="328"/>
    </row>
    <row r="55" spans="5:18" ht="18" customHeight="1">
      <c r="E55" s="328"/>
      <c r="F55" s="328"/>
      <c r="G55" s="327"/>
      <c r="H55" s="328"/>
      <c r="I55" s="328"/>
      <c r="J55" s="329"/>
      <c r="K55" s="329"/>
      <c r="L55" s="329"/>
      <c r="M55" s="329"/>
      <c r="R55" s="328"/>
    </row>
    <row r="56" spans="5:18" ht="18" customHeight="1">
      <c r="E56" s="328"/>
      <c r="F56" s="328"/>
      <c r="G56" s="327"/>
      <c r="H56" s="328"/>
      <c r="I56" s="328"/>
      <c r="J56" s="329"/>
      <c r="K56" s="329"/>
      <c r="L56" s="329"/>
      <c r="M56" s="329"/>
      <c r="R56" s="328"/>
    </row>
    <row r="57" spans="5:18" ht="18" customHeight="1">
      <c r="E57" s="328"/>
      <c r="F57" s="328"/>
      <c r="G57" s="327"/>
      <c r="H57" s="328"/>
      <c r="I57" s="328"/>
      <c r="J57" s="329"/>
      <c r="K57" s="329"/>
      <c r="L57" s="329"/>
      <c r="M57" s="329"/>
      <c r="R57" s="328"/>
    </row>
    <row r="58" spans="5:18" ht="18" customHeight="1">
      <c r="E58" s="328"/>
      <c r="F58" s="328"/>
      <c r="G58" s="327"/>
      <c r="H58" s="328"/>
      <c r="I58" s="328"/>
      <c r="J58" s="329"/>
      <c r="K58" s="329"/>
      <c r="L58" s="329"/>
      <c r="M58" s="329"/>
      <c r="R58" s="328"/>
    </row>
    <row r="59" spans="5:18" ht="18" customHeight="1">
      <c r="E59" s="328"/>
      <c r="F59" s="328"/>
      <c r="G59" s="327"/>
      <c r="H59" s="328"/>
      <c r="I59" s="328"/>
      <c r="J59" s="329"/>
      <c r="K59" s="329"/>
      <c r="L59" s="329"/>
      <c r="M59" s="329"/>
      <c r="R59" s="328"/>
    </row>
    <row r="60" spans="5:18" ht="18" customHeight="1">
      <c r="E60" s="328"/>
      <c r="F60" s="328"/>
      <c r="G60" s="327"/>
      <c r="H60" s="328"/>
      <c r="I60" s="328"/>
      <c r="J60" s="329"/>
      <c r="K60" s="329"/>
      <c r="L60" s="329"/>
      <c r="M60" s="329"/>
      <c r="R60" s="328"/>
    </row>
    <row r="61" spans="5:18" ht="18" customHeight="1">
      <c r="E61" s="328"/>
      <c r="F61" s="328"/>
      <c r="G61" s="327"/>
      <c r="H61" s="328"/>
      <c r="I61" s="328"/>
      <c r="J61" s="329"/>
      <c r="K61" s="329"/>
      <c r="L61" s="329"/>
      <c r="M61" s="329"/>
      <c r="R61" s="328"/>
    </row>
    <row r="62" spans="5:18" ht="18" customHeight="1">
      <c r="E62" s="328"/>
      <c r="F62" s="328"/>
      <c r="G62" s="327"/>
      <c r="H62" s="328"/>
      <c r="I62" s="328"/>
      <c r="J62" s="329"/>
      <c r="K62" s="329"/>
      <c r="L62" s="329"/>
      <c r="M62" s="329"/>
      <c r="R62" s="328"/>
    </row>
    <row r="63" spans="5:18" ht="18" customHeight="1">
      <c r="E63" s="328"/>
      <c r="F63" s="328"/>
      <c r="G63" s="327"/>
      <c r="H63" s="328"/>
      <c r="I63" s="328"/>
      <c r="J63" s="329"/>
      <c r="K63" s="329"/>
      <c r="L63" s="329"/>
      <c r="M63" s="329"/>
      <c r="R63" s="328"/>
    </row>
    <row r="64" spans="5:18" ht="18" customHeight="1">
      <c r="E64" s="328"/>
      <c r="F64" s="328"/>
      <c r="G64" s="327"/>
      <c r="H64" s="328"/>
      <c r="I64" s="328"/>
      <c r="J64" s="329"/>
      <c r="K64" s="329"/>
      <c r="L64" s="329"/>
      <c r="M64" s="329"/>
      <c r="R64" s="328"/>
    </row>
    <row r="65" spans="5:18" ht="18" customHeight="1">
      <c r="E65" s="328"/>
      <c r="F65" s="328"/>
      <c r="G65" s="327"/>
      <c r="H65" s="328"/>
      <c r="I65" s="328"/>
      <c r="J65" s="329"/>
      <c r="K65" s="329"/>
      <c r="L65" s="329"/>
      <c r="M65" s="329"/>
      <c r="R65" s="328"/>
    </row>
    <row r="66" spans="5:18" ht="18" customHeight="1">
      <c r="E66" s="328"/>
      <c r="F66" s="328"/>
      <c r="G66" s="327"/>
      <c r="H66" s="328"/>
      <c r="I66" s="328"/>
      <c r="J66" s="329"/>
      <c r="K66" s="329"/>
      <c r="L66" s="329"/>
      <c r="M66" s="329"/>
      <c r="R66" s="328"/>
    </row>
    <row r="67" spans="5:18" ht="18" customHeight="1">
      <c r="E67" s="328"/>
      <c r="F67" s="328"/>
      <c r="G67" s="327"/>
      <c r="H67" s="328"/>
      <c r="I67" s="328"/>
      <c r="J67" s="329"/>
      <c r="K67" s="329"/>
      <c r="L67" s="329"/>
      <c r="M67" s="329"/>
      <c r="R67" s="328"/>
    </row>
    <row r="68" spans="5:18" ht="18" customHeight="1">
      <c r="E68" s="328"/>
      <c r="F68" s="328"/>
      <c r="G68" s="327"/>
      <c r="H68" s="328"/>
      <c r="I68" s="328"/>
      <c r="J68" s="329"/>
      <c r="K68" s="329"/>
      <c r="L68" s="329"/>
      <c r="M68" s="329"/>
      <c r="R68" s="328"/>
    </row>
    <row r="69" spans="5:18" ht="18" customHeight="1">
      <c r="E69" s="328"/>
      <c r="F69" s="328"/>
      <c r="G69" s="327"/>
      <c r="H69" s="328"/>
      <c r="I69" s="328"/>
      <c r="J69" s="329"/>
      <c r="K69" s="329"/>
      <c r="L69" s="329"/>
      <c r="M69" s="329"/>
      <c r="R69" s="328"/>
    </row>
    <row r="70" spans="5:18" ht="18" customHeight="1">
      <c r="E70" s="328"/>
      <c r="F70" s="328"/>
      <c r="G70" s="327"/>
      <c r="H70" s="328"/>
      <c r="I70" s="328"/>
      <c r="J70" s="329"/>
      <c r="K70" s="329"/>
      <c r="L70" s="329"/>
      <c r="M70" s="329"/>
      <c r="R70" s="328"/>
    </row>
    <row r="71" spans="5:18" ht="18" customHeight="1">
      <c r="E71" s="328"/>
      <c r="F71" s="328"/>
      <c r="G71" s="327"/>
      <c r="H71" s="328"/>
      <c r="I71" s="328"/>
      <c r="J71" s="329"/>
      <c r="K71" s="329"/>
      <c r="L71" s="329"/>
      <c r="M71" s="329"/>
      <c r="R71" s="328"/>
    </row>
    <row r="72" spans="5:18" ht="18" customHeight="1">
      <c r="E72" s="328"/>
      <c r="F72" s="328"/>
      <c r="G72" s="327"/>
      <c r="H72" s="328"/>
      <c r="I72" s="328"/>
      <c r="J72" s="329"/>
      <c r="K72" s="329"/>
      <c r="L72" s="329"/>
      <c r="M72" s="329"/>
      <c r="R72" s="328"/>
    </row>
    <row r="73" spans="5:18" ht="18" customHeight="1">
      <c r="E73" s="328"/>
      <c r="F73" s="328"/>
      <c r="G73" s="327"/>
      <c r="H73" s="328"/>
      <c r="I73" s="328"/>
      <c r="J73" s="329"/>
      <c r="K73" s="329"/>
      <c r="L73" s="329"/>
      <c r="M73" s="329"/>
      <c r="R73" s="328"/>
    </row>
    <row r="74" spans="5:18" ht="18" customHeight="1">
      <c r="E74" s="328"/>
      <c r="F74" s="328"/>
      <c r="G74" s="327"/>
      <c r="H74" s="328"/>
      <c r="I74" s="328"/>
      <c r="J74" s="329"/>
      <c r="K74" s="329"/>
      <c r="L74" s="329"/>
      <c r="M74" s="329"/>
      <c r="R74" s="328"/>
    </row>
    <row r="75" spans="5:18" ht="18" customHeight="1">
      <c r="E75" s="328"/>
      <c r="F75" s="328"/>
      <c r="H75" s="328"/>
      <c r="I75" s="328"/>
      <c r="R75" s="328"/>
    </row>
    <row r="76" spans="5:18" ht="18" customHeight="1">
      <c r="E76" s="328"/>
      <c r="F76" s="328"/>
      <c r="H76" s="328"/>
      <c r="I76" s="328"/>
      <c r="R76" s="328"/>
    </row>
    <row r="77" spans="5:18" ht="18" customHeight="1">
      <c r="E77" s="328"/>
      <c r="F77" s="328"/>
      <c r="H77" s="328"/>
      <c r="I77" s="328"/>
      <c r="R77" s="328"/>
    </row>
    <row r="78" spans="5:18" ht="18" customHeight="1">
      <c r="E78" s="328"/>
      <c r="F78" s="328"/>
      <c r="H78" s="328"/>
      <c r="I78" s="328"/>
      <c r="R78" s="328"/>
    </row>
    <row r="79" spans="5:18" ht="18" customHeight="1">
      <c r="E79" s="328"/>
      <c r="F79" s="328"/>
      <c r="H79" s="328"/>
      <c r="I79" s="328"/>
      <c r="R79" s="328"/>
    </row>
    <row r="80" spans="5:18" ht="18" customHeight="1">
      <c r="E80" s="328"/>
      <c r="F80" s="328"/>
      <c r="H80" s="328"/>
      <c r="I80" s="328"/>
      <c r="R80" s="328"/>
    </row>
    <row r="81" spans="5:18" ht="18" customHeight="1">
      <c r="E81" s="328"/>
      <c r="F81" s="328"/>
      <c r="H81" s="328"/>
      <c r="I81" s="328"/>
      <c r="R81" s="328"/>
    </row>
    <row r="82" spans="5:18" ht="18" customHeight="1">
      <c r="E82" s="328"/>
      <c r="F82" s="328"/>
      <c r="H82" s="328"/>
      <c r="I82" s="328"/>
      <c r="R82" s="328"/>
    </row>
    <row r="83" spans="5:18" ht="18" customHeight="1">
      <c r="E83" s="328"/>
      <c r="F83" s="328"/>
      <c r="I83" s="328"/>
      <c r="R83" s="328"/>
    </row>
    <row r="84" spans="5:18" ht="18" customHeight="1">
      <c r="E84" s="328"/>
      <c r="F84" s="328"/>
      <c r="I84" s="328"/>
      <c r="R84" s="328"/>
    </row>
    <row r="85" spans="5:18" ht="18" customHeight="1">
      <c r="E85" s="328"/>
      <c r="F85" s="328"/>
      <c r="I85" s="328"/>
      <c r="R85" s="328"/>
    </row>
    <row r="86" spans="5:18" ht="18" customHeight="1">
      <c r="E86" s="328"/>
      <c r="F86" s="328"/>
      <c r="I86" s="328"/>
      <c r="R86" s="328"/>
    </row>
    <row r="87" spans="5:18" ht="18" customHeight="1">
      <c r="E87" s="328"/>
      <c r="F87" s="328"/>
      <c r="I87" s="328"/>
      <c r="R87" s="328"/>
    </row>
    <row r="88" spans="5:18" ht="18" customHeight="1">
      <c r="E88" s="328"/>
      <c r="F88" s="328"/>
      <c r="I88" s="328"/>
      <c r="R88" s="328"/>
    </row>
    <row r="89" spans="5:18" ht="18" customHeight="1">
      <c r="E89" s="328"/>
      <c r="F89" s="328"/>
      <c r="I89" s="328"/>
      <c r="R89" s="328"/>
    </row>
    <row r="90" spans="5:18" ht="18" customHeight="1">
      <c r="E90" s="328"/>
      <c r="F90" s="328"/>
      <c r="I90" s="328"/>
      <c r="R90" s="328"/>
    </row>
    <row r="91" spans="5:18" ht="18" customHeight="1">
      <c r="E91" s="328"/>
      <c r="F91" s="328"/>
      <c r="I91" s="328"/>
      <c r="R91" s="328"/>
    </row>
    <row r="92" spans="5:18" ht="18" customHeight="1">
      <c r="E92" s="328"/>
      <c r="F92" s="328"/>
      <c r="I92" s="328"/>
      <c r="R92" s="328"/>
    </row>
    <row r="93" spans="5:18" ht="18" customHeight="1">
      <c r="E93" s="328"/>
      <c r="F93" s="328"/>
      <c r="I93" s="328"/>
      <c r="R93" s="328"/>
    </row>
    <row r="94" spans="5:18" ht="18" customHeight="1">
      <c r="E94" s="328"/>
      <c r="F94" s="328"/>
      <c r="I94" s="328"/>
      <c r="R94" s="328"/>
    </row>
    <row r="95" spans="5:18" ht="18" customHeight="1">
      <c r="E95" s="328"/>
      <c r="F95" s="328"/>
      <c r="I95" s="328"/>
      <c r="R95" s="328"/>
    </row>
    <row r="96" spans="5:18" ht="18" customHeight="1">
      <c r="E96" s="328"/>
      <c r="F96" s="328"/>
      <c r="I96" s="328"/>
      <c r="R96" s="328"/>
    </row>
    <row r="97" spans="5:18" ht="18" customHeight="1">
      <c r="E97" s="328"/>
      <c r="F97" s="328"/>
      <c r="I97" s="328"/>
      <c r="R97" s="328"/>
    </row>
    <row r="98" spans="5:18" ht="18" customHeight="1">
      <c r="E98" s="328"/>
      <c r="F98" s="328"/>
      <c r="I98" s="328"/>
      <c r="R98" s="328"/>
    </row>
    <row r="99" spans="5:18" ht="18" customHeight="1">
      <c r="E99" s="328"/>
      <c r="F99" s="328"/>
      <c r="I99" s="328"/>
      <c r="R99" s="328"/>
    </row>
    <row r="100" spans="5:18" ht="18" customHeight="1">
      <c r="E100" s="328"/>
      <c r="F100" s="328"/>
      <c r="I100" s="328"/>
      <c r="R100" s="328"/>
    </row>
    <row r="101" spans="5:18" ht="18" customHeight="1">
      <c r="E101" s="328"/>
      <c r="F101" s="328"/>
      <c r="I101" s="328"/>
      <c r="R101" s="328"/>
    </row>
    <row r="102" spans="5:18" ht="18" customHeight="1">
      <c r="E102" s="328"/>
      <c r="F102" s="328"/>
      <c r="I102" s="328"/>
      <c r="R102" s="328"/>
    </row>
    <row r="103" spans="5:18" ht="18" customHeight="1">
      <c r="E103" s="328"/>
      <c r="F103" s="328"/>
      <c r="I103" s="328"/>
      <c r="R103" s="328"/>
    </row>
    <row r="104" spans="5:18" ht="18" customHeight="1">
      <c r="E104" s="328"/>
      <c r="F104" s="328"/>
      <c r="I104" s="328"/>
      <c r="R104" s="328"/>
    </row>
    <row r="105" spans="5:18" ht="18" customHeight="1">
      <c r="E105" s="328"/>
      <c r="F105" s="328"/>
      <c r="I105" s="328"/>
      <c r="R105" s="328"/>
    </row>
    <row r="106" spans="5:18" ht="18" customHeight="1">
      <c r="E106" s="328"/>
      <c r="F106" s="328"/>
      <c r="I106" s="328"/>
      <c r="R106" s="328"/>
    </row>
    <row r="107" spans="5:18" ht="18" customHeight="1">
      <c r="E107" s="328"/>
      <c r="F107" s="328"/>
      <c r="I107" s="328"/>
      <c r="R107" s="328"/>
    </row>
    <row r="108" spans="5:18" ht="18" customHeight="1">
      <c r="E108" s="328"/>
      <c r="F108" s="328"/>
      <c r="I108" s="328"/>
      <c r="R108" s="328"/>
    </row>
    <row r="109" spans="5:18" ht="18" customHeight="1">
      <c r="E109" s="328"/>
      <c r="F109" s="328"/>
      <c r="I109" s="328"/>
      <c r="R109" s="328"/>
    </row>
    <row r="110" spans="5:18" ht="18" customHeight="1">
      <c r="E110" s="328"/>
      <c r="F110" s="328"/>
      <c r="I110" s="328"/>
      <c r="R110" s="328"/>
    </row>
    <row r="111" spans="5:18" ht="18" customHeight="1">
      <c r="E111" s="328"/>
      <c r="F111" s="328"/>
      <c r="I111" s="328"/>
      <c r="R111" s="328"/>
    </row>
    <row r="112" spans="5:18" ht="18" customHeight="1">
      <c r="E112" s="328"/>
      <c r="F112" s="328"/>
      <c r="I112" s="328"/>
      <c r="R112" s="328"/>
    </row>
    <row r="113" spans="5:18" ht="18" customHeight="1">
      <c r="E113" s="328"/>
      <c r="F113" s="328"/>
      <c r="I113" s="328"/>
      <c r="R113" s="328"/>
    </row>
    <row r="114" spans="5:18" ht="18" customHeight="1">
      <c r="E114" s="328"/>
      <c r="F114" s="328"/>
      <c r="I114" s="328"/>
      <c r="R114" s="328"/>
    </row>
    <row r="115" spans="5:18" ht="18" customHeight="1">
      <c r="E115" s="328"/>
      <c r="F115" s="328"/>
      <c r="I115" s="328"/>
      <c r="R115" s="328"/>
    </row>
    <row r="116" spans="5:18" ht="18" customHeight="1">
      <c r="E116" s="328"/>
      <c r="F116" s="328"/>
      <c r="I116" s="328"/>
      <c r="R116" s="328"/>
    </row>
    <row r="117" spans="5:18" ht="18" customHeight="1">
      <c r="E117" s="328"/>
      <c r="F117" s="328"/>
      <c r="I117" s="328"/>
      <c r="R117" s="328"/>
    </row>
    <row r="118" spans="5:18" ht="18" customHeight="1">
      <c r="E118" s="328"/>
      <c r="F118" s="328"/>
      <c r="I118" s="328"/>
      <c r="R118" s="328"/>
    </row>
    <row r="119" spans="5:18" ht="18" customHeight="1">
      <c r="E119" s="328"/>
      <c r="F119" s="328"/>
      <c r="I119" s="328"/>
      <c r="R119" s="328"/>
    </row>
    <row r="120" spans="5:18" ht="18" customHeight="1">
      <c r="E120" s="328"/>
      <c r="F120" s="328"/>
      <c r="I120" s="328"/>
      <c r="R120" s="328"/>
    </row>
    <row r="121" spans="5:18" ht="18" customHeight="1">
      <c r="E121" s="328"/>
      <c r="F121" s="328"/>
      <c r="I121" s="328"/>
      <c r="R121" s="328"/>
    </row>
    <row r="122" spans="5:18" ht="18" customHeight="1">
      <c r="E122" s="328"/>
      <c r="F122" s="328"/>
      <c r="I122" s="328"/>
      <c r="R122" s="328"/>
    </row>
    <row r="123" spans="5:18" ht="18" customHeight="1">
      <c r="E123" s="328"/>
      <c r="F123" s="328"/>
      <c r="I123" s="328"/>
      <c r="R123" s="328"/>
    </row>
    <row r="124" spans="5:18" ht="18" customHeight="1">
      <c r="E124" s="328"/>
      <c r="F124" s="328"/>
      <c r="I124" s="328"/>
      <c r="R124" s="328"/>
    </row>
    <row r="125" spans="5:18" ht="18" customHeight="1">
      <c r="E125" s="328"/>
      <c r="F125" s="328"/>
      <c r="I125" s="328"/>
      <c r="R125" s="328"/>
    </row>
    <row r="126" spans="5:18" ht="18" customHeight="1">
      <c r="E126" s="328"/>
      <c r="F126" s="328"/>
      <c r="I126" s="328"/>
      <c r="R126" s="328"/>
    </row>
    <row r="127" spans="5:18" ht="18" customHeight="1">
      <c r="E127" s="328"/>
      <c r="F127" s="328"/>
      <c r="I127" s="328"/>
      <c r="R127" s="328"/>
    </row>
    <row r="128" spans="5:18" ht="18" customHeight="1">
      <c r="E128" s="328"/>
      <c r="F128" s="328"/>
      <c r="I128" s="328"/>
      <c r="R128" s="328"/>
    </row>
    <row r="129" spans="5:18" ht="18" customHeight="1">
      <c r="E129" s="328"/>
      <c r="F129" s="328"/>
      <c r="I129" s="328"/>
      <c r="R129" s="328"/>
    </row>
    <row r="130" spans="5:18" ht="18" customHeight="1">
      <c r="E130" s="328"/>
      <c r="F130" s="328"/>
      <c r="I130" s="328"/>
      <c r="R130" s="328"/>
    </row>
    <row r="131" spans="5:18" ht="18" customHeight="1">
      <c r="E131" s="328"/>
      <c r="F131" s="328"/>
      <c r="I131" s="328"/>
      <c r="R131" s="328"/>
    </row>
    <row r="132" spans="5:18" ht="18" customHeight="1">
      <c r="E132" s="328"/>
      <c r="F132" s="328"/>
      <c r="I132" s="328"/>
      <c r="R132" s="328"/>
    </row>
    <row r="133" spans="5:18" ht="18" customHeight="1">
      <c r="E133" s="328"/>
      <c r="F133" s="328"/>
      <c r="I133" s="328"/>
      <c r="R133" s="328"/>
    </row>
    <row r="134" spans="5:18" ht="18" customHeight="1">
      <c r="E134" s="328"/>
      <c r="F134" s="328"/>
      <c r="I134" s="328"/>
      <c r="R134" s="328"/>
    </row>
    <row r="135" spans="5:18" ht="18" customHeight="1">
      <c r="E135" s="328"/>
      <c r="F135" s="328"/>
      <c r="I135" s="328"/>
      <c r="R135" s="328"/>
    </row>
    <row r="136" spans="5:18" ht="18" customHeight="1">
      <c r="E136" s="328"/>
      <c r="F136" s="328"/>
      <c r="I136" s="328"/>
      <c r="R136" s="328"/>
    </row>
    <row r="137" spans="5:18" ht="18" customHeight="1">
      <c r="E137" s="328"/>
      <c r="F137" s="328"/>
      <c r="I137" s="328"/>
      <c r="R137" s="328"/>
    </row>
    <row r="138" spans="5:18" ht="18" customHeight="1">
      <c r="E138" s="328"/>
      <c r="F138" s="328"/>
      <c r="I138" s="328"/>
      <c r="R138" s="328"/>
    </row>
    <row r="139" spans="5:18" ht="18" customHeight="1">
      <c r="E139" s="328"/>
      <c r="F139" s="328"/>
      <c r="I139" s="328"/>
      <c r="R139" s="328"/>
    </row>
    <row r="140" spans="5:18" ht="18" customHeight="1">
      <c r="E140" s="328"/>
      <c r="F140" s="328"/>
      <c r="I140" s="328"/>
      <c r="R140" s="328"/>
    </row>
    <row r="141" spans="5:18" ht="18" customHeight="1">
      <c r="E141" s="328"/>
      <c r="F141" s="328"/>
      <c r="I141" s="328"/>
      <c r="R141" s="328"/>
    </row>
    <row r="142" spans="5:18" ht="18" customHeight="1">
      <c r="E142" s="328"/>
      <c r="F142" s="328"/>
      <c r="I142" s="328"/>
      <c r="R142" s="328"/>
    </row>
    <row r="143" spans="5:18" ht="18" customHeight="1">
      <c r="E143" s="328"/>
      <c r="F143" s="328"/>
      <c r="I143" s="328"/>
      <c r="R143" s="328"/>
    </row>
    <row r="144" spans="5:18" ht="18" customHeight="1">
      <c r="E144" s="328"/>
      <c r="F144" s="328"/>
      <c r="I144" s="328"/>
      <c r="R144" s="328"/>
    </row>
    <row r="145" spans="5:18" ht="18" customHeight="1">
      <c r="E145" s="328"/>
      <c r="F145" s="328"/>
      <c r="I145" s="328"/>
      <c r="R145" s="328"/>
    </row>
    <row r="146" spans="5:18" ht="18" customHeight="1">
      <c r="E146" s="328"/>
      <c r="F146" s="328"/>
      <c r="I146" s="328"/>
      <c r="R146" s="328"/>
    </row>
    <row r="147" spans="5:18" ht="18" customHeight="1">
      <c r="E147" s="328"/>
      <c r="F147" s="328"/>
      <c r="I147" s="328"/>
      <c r="R147" s="328"/>
    </row>
    <row r="148" spans="5:18" ht="18" customHeight="1">
      <c r="E148" s="328"/>
      <c r="F148" s="328"/>
      <c r="I148" s="328"/>
      <c r="R148" s="328"/>
    </row>
    <row r="149" spans="5:18" ht="18" customHeight="1">
      <c r="E149" s="328"/>
      <c r="F149" s="328"/>
      <c r="I149" s="328"/>
      <c r="R149" s="328"/>
    </row>
    <row r="150" spans="5:18" ht="18" customHeight="1">
      <c r="E150" s="328"/>
      <c r="F150" s="328"/>
      <c r="I150" s="328"/>
      <c r="R150" s="328"/>
    </row>
    <row r="151" spans="5:18" ht="18" customHeight="1">
      <c r="E151" s="328"/>
      <c r="F151" s="328"/>
      <c r="I151" s="328"/>
      <c r="R151" s="328"/>
    </row>
    <row r="152" spans="5:18" ht="18" customHeight="1">
      <c r="E152" s="328"/>
      <c r="F152" s="328"/>
      <c r="I152" s="328"/>
      <c r="R152" s="328"/>
    </row>
    <row r="153" spans="5:18" ht="18" customHeight="1">
      <c r="E153" s="328"/>
      <c r="F153" s="328"/>
      <c r="I153" s="328"/>
      <c r="R153" s="328"/>
    </row>
    <row r="154" spans="5:18" ht="18" customHeight="1">
      <c r="E154" s="328"/>
      <c r="F154" s="328"/>
      <c r="I154" s="328"/>
      <c r="R154" s="328"/>
    </row>
    <row r="155" spans="5:18" ht="18" customHeight="1">
      <c r="E155" s="328"/>
      <c r="F155" s="328"/>
      <c r="I155" s="328"/>
      <c r="R155" s="328"/>
    </row>
    <row r="156" spans="5:18" ht="18" customHeight="1">
      <c r="E156" s="328"/>
      <c r="F156" s="328"/>
      <c r="I156" s="328"/>
      <c r="R156" s="328"/>
    </row>
    <row r="157" spans="5:18" ht="18" customHeight="1">
      <c r="E157" s="328"/>
      <c r="F157" s="328"/>
      <c r="I157" s="328"/>
      <c r="R157" s="328"/>
    </row>
    <row r="158" spans="5:18" ht="18" customHeight="1">
      <c r="E158" s="328"/>
      <c r="F158" s="328"/>
      <c r="I158" s="328"/>
      <c r="R158" s="328"/>
    </row>
    <row r="159" spans="5:18" ht="18" customHeight="1">
      <c r="E159" s="328"/>
      <c r="F159" s="328"/>
      <c r="I159" s="328"/>
      <c r="R159" s="328"/>
    </row>
    <row r="160" spans="5:18" ht="18" customHeight="1">
      <c r="E160" s="328"/>
      <c r="F160" s="328"/>
      <c r="I160" s="328"/>
      <c r="R160" s="328"/>
    </row>
    <row r="161" spans="5:18" ht="18" customHeight="1">
      <c r="E161" s="328"/>
      <c r="F161" s="328"/>
      <c r="I161" s="328"/>
      <c r="R161" s="328"/>
    </row>
    <row r="162" spans="5:18" ht="18" customHeight="1">
      <c r="E162" s="328"/>
      <c r="F162" s="328"/>
      <c r="I162" s="328"/>
      <c r="R162" s="328"/>
    </row>
    <row r="163" spans="5:18" ht="18" customHeight="1">
      <c r="E163" s="328"/>
      <c r="F163" s="328"/>
      <c r="I163" s="328"/>
      <c r="R163" s="328"/>
    </row>
    <row r="164" spans="5:18" ht="18" customHeight="1">
      <c r="E164" s="328"/>
      <c r="F164" s="328"/>
      <c r="I164" s="328"/>
      <c r="R164" s="328"/>
    </row>
    <row r="165" spans="5:18" ht="18" customHeight="1">
      <c r="E165" s="328"/>
      <c r="F165" s="328"/>
      <c r="I165" s="328"/>
      <c r="R165" s="328"/>
    </row>
    <row r="166" spans="5:18" ht="18" customHeight="1">
      <c r="E166" s="328"/>
      <c r="F166" s="328"/>
      <c r="I166" s="328"/>
      <c r="R166" s="328"/>
    </row>
    <row r="167" spans="5:18" ht="18" customHeight="1">
      <c r="E167" s="328"/>
      <c r="F167" s="328"/>
      <c r="I167" s="328"/>
      <c r="R167" s="328"/>
    </row>
    <row r="168" spans="5:18" ht="18" customHeight="1">
      <c r="E168" s="328"/>
      <c r="F168" s="328"/>
      <c r="I168" s="328"/>
      <c r="R168" s="328"/>
    </row>
    <row r="169" spans="5:18" ht="18" customHeight="1">
      <c r="E169" s="328"/>
      <c r="F169" s="328"/>
      <c r="I169" s="328"/>
      <c r="R169" s="328"/>
    </row>
    <row r="170" spans="5:18" ht="18" customHeight="1">
      <c r="E170" s="328"/>
      <c r="F170" s="328"/>
      <c r="I170" s="328"/>
      <c r="R170" s="328"/>
    </row>
    <row r="171" spans="5:18" ht="18" customHeight="1">
      <c r="E171" s="328"/>
      <c r="F171" s="328"/>
      <c r="I171" s="328"/>
      <c r="R171" s="328"/>
    </row>
    <row r="172" spans="5:18" ht="18" customHeight="1">
      <c r="E172" s="328"/>
      <c r="F172" s="328"/>
      <c r="I172" s="328"/>
      <c r="R172" s="328"/>
    </row>
    <row r="173" spans="5:18" ht="18" customHeight="1">
      <c r="E173" s="328"/>
      <c r="F173" s="328"/>
      <c r="I173" s="328"/>
      <c r="R173" s="328"/>
    </row>
    <row r="174" spans="5:18" ht="18" customHeight="1">
      <c r="E174" s="328"/>
      <c r="F174" s="328"/>
      <c r="I174" s="328"/>
      <c r="R174" s="328"/>
    </row>
    <row r="175" spans="5:18" ht="18" customHeight="1">
      <c r="E175" s="328"/>
      <c r="F175" s="328"/>
      <c r="I175" s="328"/>
      <c r="R175" s="328"/>
    </row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2" r:id="rId1"/>
  <headerFooter alignWithMargins="0">
    <oddHeader>&amp;R&amp;"Times New Roman,Normalny"&amp;12Załącznik Nr 19 do Uchwały  Nr III/12/2010 Rady Miejskiej w Barlinku z dnia 30 grudnia 2010</oddHeader>
    <oddFooter>&amp;C&amp;"Times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showGridLines="0" defaultGridColor="0" view="pageBreakPreview" zoomScaleSheetLayoutView="100" colorId="15" workbookViewId="0" topLeftCell="A1">
      <pane ySplit="5" topLeftCell="P108" activePane="bottomLeft" state="frozen"/>
      <selection pane="topLeft" activeCell="A1" sqref="A1"/>
      <selection pane="bottomLeft" activeCell="L20" sqref="L20"/>
    </sheetView>
  </sheetViews>
  <sheetFormatPr defaultColWidth="9.00390625" defaultRowHeight="12.75"/>
  <cols>
    <col min="1" max="1" width="6.00390625" style="14" customWidth="1"/>
    <col min="2" max="2" width="8.625" style="15" customWidth="1"/>
    <col min="3" max="3" width="6.00390625" style="16" customWidth="1"/>
    <col min="4" max="4" width="78.25390625" style="17" customWidth="1"/>
    <col min="5" max="5" width="12.75390625" style="18" customWidth="1"/>
    <col min="6" max="6" width="13.875" style="18" customWidth="1"/>
    <col min="7" max="7" width="12.25390625" style="18" customWidth="1"/>
    <col min="8" max="8" width="10.625" style="18" customWidth="1"/>
    <col min="9" max="9" width="10.25390625" style="18" customWidth="1"/>
    <col min="10" max="10" width="9.00390625" style="15" customWidth="1"/>
    <col min="11" max="11" width="16.875" style="15" customWidth="1"/>
    <col min="12" max="16384" width="9.00390625" style="15" customWidth="1"/>
  </cols>
  <sheetData>
    <row r="1" spans="1:9" ht="43.5" customHeight="1">
      <c r="A1" s="523" t="s">
        <v>20</v>
      </c>
      <c r="B1" s="523"/>
      <c r="C1" s="523"/>
      <c r="D1" s="523"/>
      <c r="E1" s="523"/>
      <c r="F1" s="523"/>
      <c r="G1" s="523"/>
      <c r="H1" s="523"/>
      <c r="I1" s="523"/>
    </row>
    <row r="2" spans="1:9" ht="15.75" customHeight="1">
      <c r="A2" s="525" t="s">
        <v>1</v>
      </c>
      <c r="B2" s="525" t="s">
        <v>21</v>
      </c>
      <c r="C2" s="525" t="s">
        <v>22</v>
      </c>
      <c r="D2" s="525" t="s">
        <v>23</v>
      </c>
      <c r="E2" s="525" t="s">
        <v>24</v>
      </c>
      <c r="F2" s="526" t="s">
        <v>25</v>
      </c>
      <c r="G2" s="526"/>
      <c r="H2" s="526"/>
      <c r="I2" s="526"/>
    </row>
    <row r="3" spans="1:9" s="20" customFormat="1" ht="13.5" customHeight="1">
      <c r="A3" s="525"/>
      <c r="B3" s="525"/>
      <c r="C3" s="525"/>
      <c r="D3" s="525"/>
      <c r="E3" s="525"/>
      <c r="F3" s="525" t="s">
        <v>4</v>
      </c>
      <c r="G3" s="19" t="s">
        <v>25</v>
      </c>
      <c r="H3" s="525" t="s">
        <v>5</v>
      </c>
      <c r="I3" s="19" t="s">
        <v>25</v>
      </c>
    </row>
    <row r="4" spans="1:9" s="21" customFormat="1" ht="127.5">
      <c r="A4" s="525"/>
      <c r="B4" s="525"/>
      <c r="C4" s="525"/>
      <c r="D4" s="525"/>
      <c r="E4" s="525"/>
      <c r="F4" s="525"/>
      <c r="G4" s="19" t="s">
        <v>26</v>
      </c>
      <c r="H4" s="525"/>
      <c r="I4" s="19" t="s">
        <v>26</v>
      </c>
    </row>
    <row r="5" spans="1:9" s="16" customFormat="1" ht="15.75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>
        <v>7</v>
      </c>
      <c r="H5" s="24">
        <v>8</v>
      </c>
      <c r="I5" s="24">
        <v>9</v>
      </c>
    </row>
    <row r="6" spans="1:9" ht="12.75" customHeight="1">
      <c r="A6" s="25" t="s">
        <v>27</v>
      </c>
      <c r="B6" s="25"/>
      <c r="C6" s="25"/>
      <c r="D6" s="26" t="s">
        <v>28</v>
      </c>
      <c r="E6" s="27">
        <f aca="true" t="shared" si="0" ref="E6:I7">E7</f>
        <v>5331</v>
      </c>
      <c r="F6" s="27">
        <f t="shared" si="0"/>
        <v>5331</v>
      </c>
      <c r="G6" s="27">
        <f t="shared" si="0"/>
        <v>0</v>
      </c>
      <c r="H6" s="27">
        <f t="shared" si="0"/>
        <v>0</v>
      </c>
      <c r="I6" s="27">
        <f t="shared" si="0"/>
        <v>0</v>
      </c>
    </row>
    <row r="7" spans="1:9" ht="12.75" customHeight="1">
      <c r="A7" s="28"/>
      <c r="B7" s="28" t="s">
        <v>29</v>
      </c>
      <c r="C7" s="28"/>
      <c r="D7" s="29" t="s">
        <v>30</v>
      </c>
      <c r="E7" s="30">
        <f t="shared" si="0"/>
        <v>5331</v>
      </c>
      <c r="F7" s="30">
        <f t="shared" si="0"/>
        <v>5331</v>
      </c>
      <c r="G7" s="30">
        <f t="shared" si="0"/>
        <v>0</v>
      </c>
      <c r="H7" s="30">
        <f t="shared" si="0"/>
        <v>0</v>
      </c>
      <c r="I7" s="30">
        <f t="shared" si="0"/>
        <v>0</v>
      </c>
    </row>
    <row r="8" spans="1:9" ht="47.25">
      <c r="A8" s="28"/>
      <c r="B8" s="31"/>
      <c r="C8" s="31" t="s">
        <v>31</v>
      </c>
      <c r="D8" s="32" t="s">
        <v>32</v>
      </c>
      <c r="E8" s="33">
        <f>F8+H8</f>
        <v>5331</v>
      </c>
      <c r="F8" s="33">
        <f>2331+3000</f>
        <v>5331</v>
      </c>
      <c r="G8" s="33"/>
      <c r="H8" s="34"/>
      <c r="I8" s="34"/>
    </row>
    <row r="9" spans="1:9" ht="12.75" customHeight="1">
      <c r="A9" s="26">
        <v>400</v>
      </c>
      <c r="B9" s="26"/>
      <c r="C9" s="26"/>
      <c r="D9" s="26" t="s">
        <v>33</v>
      </c>
      <c r="E9" s="35">
        <f aca="true" t="shared" si="1" ref="E9:I10">E10</f>
        <v>676200</v>
      </c>
      <c r="F9" s="35">
        <f t="shared" si="1"/>
        <v>0</v>
      </c>
      <c r="G9" s="35">
        <f t="shared" si="1"/>
        <v>0</v>
      </c>
      <c r="H9" s="35">
        <f t="shared" si="1"/>
        <v>676200</v>
      </c>
      <c r="I9" s="35">
        <f t="shared" si="1"/>
        <v>676200</v>
      </c>
    </row>
    <row r="10" spans="1:9" ht="12.75" customHeight="1">
      <c r="A10" s="36"/>
      <c r="B10" s="36">
        <v>40002</v>
      </c>
      <c r="C10" s="36"/>
      <c r="D10" s="37" t="s">
        <v>34</v>
      </c>
      <c r="E10" s="38">
        <f t="shared" si="1"/>
        <v>676200</v>
      </c>
      <c r="F10" s="38">
        <f t="shared" si="1"/>
        <v>0</v>
      </c>
      <c r="G10" s="38">
        <f t="shared" si="1"/>
        <v>0</v>
      </c>
      <c r="H10" s="38">
        <f t="shared" si="1"/>
        <v>676200</v>
      </c>
      <c r="I10" s="38">
        <f t="shared" si="1"/>
        <v>676200</v>
      </c>
    </row>
    <row r="11" spans="1:9" ht="63">
      <c r="A11" s="36"/>
      <c r="B11" s="39"/>
      <c r="C11" s="39">
        <v>6207</v>
      </c>
      <c r="D11" s="40" t="s">
        <v>35</v>
      </c>
      <c r="E11" s="41">
        <f>F11+H11</f>
        <v>676200</v>
      </c>
      <c r="F11" s="41"/>
      <c r="G11" s="42"/>
      <c r="H11" s="41">
        <f>I11</f>
        <v>676200</v>
      </c>
      <c r="I11" s="41">
        <v>676200</v>
      </c>
    </row>
    <row r="12" spans="1:9" ht="12.75" customHeight="1">
      <c r="A12" s="43">
        <v>600</v>
      </c>
      <c r="B12" s="43"/>
      <c r="C12" s="43"/>
      <c r="D12" s="26" t="s">
        <v>36</v>
      </c>
      <c r="E12" s="27">
        <f>E13</f>
        <v>2043413</v>
      </c>
      <c r="F12" s="27">
        <f>F13</f>
        <v>0</v>
      </c>
      <c r="G12" s="27">
        <f>G13</f>
        <v>0</v>
      </c>
      <c r="H12" s="27">
        <f>H13</f>
        <v>2043413</v>
      </c>
      <c r="I12" s="27">
        <f>I13</f>
        <v>1850413</v>
      </c>
    </row>
    <row r="13" spans="1:9" ht="12.75" customHeight="1">
      <c r="A13" s="44"/>
      <c r="B13" s="44">
        <v>60016</v>
      </c>
      <c r="C13" s="44"/>
      <c r="D13" s="45" t="s">
        <v>37</v>
      </c>
      <c r="E13" s="30">
        <f>E14+E15</f>
        <v>2043413</v>
      </c>
      <c r="F13" s="30">
        <f>F14+F15</f>
        <v>0</v>
      </c>
      <c r="G13" s="30">
        <f>G14+G15</f>
        <v>0</v>
      </c>
      <c r="H13" s="30">
        <f>H14+H15</f>
        <v>2043413</v>
      </c>
      <c r="I13" s="30">
        <f>I14+I15</f>
        <v>1850413</v>
      </c>
    </row>
    <row r="14" spans="1:9" ht="63">
      <c r="A14" s="46"/>
      <c r="B14" s="46"/>
      <c r="C14" s="31" t="s">
        <v>38</v>
      </c>
      <c r="D14" s="40" t="s">
        <v>35</v>
      </c>
      <c r="E14" s="33">
        <f>H14</f>
        <v>1850413</v>
      </c>
      <c r="F14" s="33"/>
      <c r="G14" s="33"/>
      <c r="H14" s="42">
        <f>I14</f>
        <v>1850413</v>
      </c>
      <c r="I14" s="42">
        <f>1715413+135000</f>
        <v>1850413</v>
      </c>
    </row>
    <row r="15" spans="1:9" ht="31.5">
      <c r="A15" s="44"/>
      <c r="B15" s="46"/>
      <c r="C15" s="31" t="s">
        <v>39</v>
      </c>
      <c r="D15" s="47" t="s">
        <v>40</v>
      </c>
      <c r="E15" s="33">
        <f>H15</f>
        <v>193000</v>
      </c>
      <c r="F15" s="33"/>
      <c r="G15" s="33"/>
      <c r="H15" s="42">
        <v>193000</v>
      </c>
      <c r="I15" s="42"/>
    </row>
    <row r="16" spans="1:9" ht="12.75" customHeight="1">
      <c r="A16" s="25">
        <v>700</v>
      </c>
      <c r="B16" s="25"/>
      <c r="C16" s="25"/>
      <c r="D16" s="26" t="s">
        <v>41</v>
      </c>
      <c r="E16" s="27">
        <f>E17</f>
        <v>1646500</v>
      </c>
      <c r="F16" s="27">
        <f>F17</f>
        <v>373500</v>
      </c>
      <c r="G16" s="27">
        <f>G17</f>
        <v>0</v>
      </c>
      <c r="H16" s="27">
        <f>H17</f>
        <v>1273000</v>
      </c>
      <c r="I16" s="27">
        <f>I17</f>
        <v>0</v>
      </c>
    </row>
    <row r="17" spans="1:9" ht="12.75" customHeight="1">
      <c r="A17" s="28"/>
      <c r="B17" s="28">
        <v>70005</v>
      </c>
      <c r="C17" s="28"/>
      <c r="D17" s="29" t="s">
        <v>42</v>
      </c>
      <c r="E17" s="30">
        <f>E18+E20+E21+E22+E23</f>
        <v>1646500</v>
      </c>
      <c r="F17" s="30">
        <f>F18+F20+F21+F22+F23</f>
        <v>373500</v>
      </c>
      <c r="G17" s="30">
        <f>G18+G20+G21+G22+G23</f>
        <v>0</v>
      </c>
      <c r="H17" s="30">
        <f>H18+H20+H21+H22+H23</f>
        <v>1273000</v>
      </c>
      <c r="I17" s="30">
        <f>I18+I20+I21+I22+I23</f>
        <v>0</v>
      </c>
    </row>
    <row r="18" spans="1:9" ht="12.75" customHeight="1">
      <c r="A18" s="28"/>
      <c r="B18" s="31"/>
      <c r="C18" s="31" t="s">
        <v>43</v>
      </c>
      <c r="D18" s="32" t="s">
        <v>44</v>
      </c>
      <c r="E18" s="33">
        <f>F18+H18</f>
        <v>271000</v>
      </c>
      <c r="F18" s="33">
        <v>271000</v>
      </c>
      <c r="G18" s="33"/>
      <c r="H18" s="34"/>
      <c r="I18" s="34"/>
    </row>
    <row r="19" spans="1:9" ht="12.75" customHeight="1">
      <c r="A19" s="48"/>
      <c r="B19" s="31"/>
      <c r="C19" s="31" t="s">
        <v>45</v>
      </c>
      <c r="D19" s="32" t="s">
        <v>46</v>
      </c>
      <c r="E19" s="33">
        <f>F19</f>
        <v>10000</v>
      </c>
      <c r="F19" s="33">
        <v>10000</v>
      </c>
      <c r="G19" s="33"/>
      <c r="H19" s="34"/>
      <c r="I19" s="34"/>
    </row>
    <row r="20" spans="1:9" ht="47.25">
      <c r="A20" s="28"/>
      <c r="B20" s="31"/>
      <c r="C20" s="31" t="s">
        <v>31</v>
      </c>
      <c r="D20" s="32" t="s">
        <v>47</v>
      </c>
      <c r="E20" s="33">
        <f>F20+H20</f>
        <v>97500</v>
      </c>
      <c r="F20" s="33">
        <v>97500</v>
      </c>
      <c r="G20" s="33"/>
      <c r="H20" s="34"/>
      <c r="I20" s="34"/>
    </row>
    <row r="21" spans="1:9" ht="31.5">
      <c r="A21" s="28"/>
      <c r="B21" s="31"/>
      <c r="C21" s="31" t="s">
        <v>48</v>
      </c>
      <c r="D21" s="32" t="s">
        <v>49</v>
      </c>
      <c r="E21" s="33">
        <f>F21+H21</f>
        <v>25000</v>
      </c>
      <c r="F21" s="33"/>
      <c r="G21" s="33"/>
      <c r="H21" s="33">
        <v>25000</v>
      </c>
      <c r="I21" s="33"/>
    </row>
    <row r="22" spans="1:9" ht="31.5">
      <c r="A22" s="28"/>
      <c r="B22" s="31"/>
      <c r="C22" s="31" t="s">
        <v>50</v>
      </c>
      <c r="D22" s="32" t="s">
        <v>51</v>
      </c>
      <c r="E22" s="33">
        <f>F22+H22</f>
        <v>1248000</v>
      </c>
      <c r="F22" s="33"/>
      <c r="G22" s="33"/>
      <c r="H22" s="33">
        <f>1048000+200000</f>
        <v>1248000</v>
      </c>
      <c r="I22" s="33"/>
    </row>
    <row r="23" spans="1:9" ht="12.75" customHeight="1">
      <c r="A23" s="31"/>
      <c r="B23" s="31"/>
      <c r="C23" s="31" t="s">
        <v>52</v>
      </c>
      <c r="D23" s="32" t="s">
        <v>53</v>
      </c>
      <c r="E23" s="33">
        <f>F23+H23</f>
        <v>5000</v>
      </c>
      <c r="F23" s="33">
        <v>5000</v>
      </c>
      <c r="G23" s="33"/>
      <c r="H23" s="34"/>
      <c r="I23" s="34"/>
    </row>
    <row r="24" spans="1:9" ht="12.75" customHeight="1">
      <c r="A24" s="25">
        <v>710</v>
      </c>
      <c r="B24" s="25"/>
      <c r="C24" s="25"/>
      <c r="D24" s="49" t="s">
        <v>54</v>
      </c>
      <c r="E24" s="27">
        <f aca="true" t="shared" si="2" ref="E24:I25">E25</f>
        <v>40500</v>
      </c>
      <c r="F24" s="27">
        <f t="shared" si="2"/>
        <v>40500</v>
      </c>
      <c r="G24" s="27">
        <f t="shared" si="2"/>
        <v>0</v>
      </c>
      <c r="H24" s="27">
        <f t="shared" si="2"/>
        <v>0</v>
      </c>
      <c r="I24" s="27">
        <f t="shared" si="2"/>
        <v>0</v>
      </c>
    </row>
    <row r="25" spans="1:9" ht="12.75" customHeight="1">
      <c r="A25" s="28"/>
      <c r="B25" s="28">
        <v>71035</v>
      </c>
      <c r="C25" s="28"/>
      <c r="D25" s="29" t="s">
        <v>55</v>
      </c>
      <c r="E25" s="30">
        <f t="shared" si="2"/>
        <v>40500</v>
      </c>
      <c r="F25" s="30">
        <f t="shared" si="2"/>
        <v>40500</v>
      </c>
      <c r="G25" s="30">
        <f t="shared" si="2"/>
        <v>0</v>
      </c>
      <c r="H25" s="30">
        <f t="shared" si="2"/>
        <v>0</v>
      </c>
      <c r="I25" s="30">
        <f t="shared" si="2"/>
        <v>0</v>
      </c>
    </row>
    <row r="26" spans="1:9" ht="47.25">
      <c r="A26" s="28"/>
      <c r="B26" s="31"/>
      <c r="C26" s="31" t="s">
        <v>31</v>
      </c>
      <c r="D26" s="32" t="s">
        <v>47</v>
      </c>
      <c r="E26" s="33">
        <f>F26</f>
        <v>40500</v>
      </c>
      <c r="F26" s="33">
        <v>40500</v>
      </c>
      <c r="G26" s="33"/>
      <c r="H26" s="34"/>
      <c r="I26" s="34"/>
    </row>
    <row r="27" spans="1:9" ht="12.75" customHeight="1">
      <c r="A27" s="25">
        <v>750</v>
      </c>
      <c r="B27" s="25"/>
      <c r="C27" s="25"/>
      <c r="D27" s="26" t="s">
        <v>56</v>
      </c>
      <c r="E27" s="27">
        <f>E28</f>
        <v>11200</v>
      </c>
      <c r="F27" s="27">
        <f>F28</f>
        <v>11200</v>
      </c>
      <c r="G27" s="27">
        <f>G28</f>
        <v>0</v>
      </c>
      <c r="H27" s="27">
        <f>H28</f>
        <v>0</v>
      </c>
      <c r="I27" s="27">
        <f>I28</f>
        <v>0</v>
      </c>
    </row>
    <row r="28" spans="1:9" ht="12.75" customHeight="1">
      <c r="A28" s="28"/>
      <c r="B28" s="28">
        <v>75023</v>
      </c>
      <c r="C28" s="28"/>
      <c r="D28" s="29" t="s">
        <v>57</v>
      </c>
      <c r="E28" s="30">
        <f>SUM(E29:E31)</f>
        <v>11200</v>
      </c>
      <c r="F28" s="30">
        <f>SUM(F29:F31)</f>
        <v>11200</v>
      </c>
      <c r="G28" s="30">
        <f>SUM(G29:G31)</f>
        <v>0</v>
      </c>
      <c r="H28" s="30">
        <f>SUM(H29:H31)</f>
        <v>0</v>
      </c>
      <c r="I28" s="30">
        <f>SUM(I29:I31)</f>
        <v>0</v>
      </c>
    </row>
    <row r="29" spans="1:9" ht="12.75" customHeight="1">
      <c r="A29" s="28"/>
      <c r="B29" s="31"/>
      <c r="C29" s="31" t="s">
        <v>58</v>
      </c>
      <c r="D29" s="32" t="s">
        <v>59</v>
      </c>
      <c r="E29" s="33">
        <f>F29</f>
        <v>200</v>
      </c>
      <c r="F29" s="33">
        <v>200</v>
      </c>
      <c r="G29" s="33"/>
      <c r="H29" s="34"/>
      <c r="I29" s="34"/>
    </row>
    <row r="30" spans="1:9" ht="12.75" customHeight="1">
      <c r="A30" s="28"/>
      <c r="B30" s="31"/>
      <c r="C30" s="31" t="s">
        <v>60</v>
      </c>
      <c r="D30" s="32" t="s">
        <v>61</v>
      </c>
      <c r="E30" s="33">
        <f>F30</f>
        <v>1000</v>
      </c>
      <c r="F30" s="33">
        <v>1000</v>
      </c>
      <c r="G30" s="33"/>
      <c r="H30" s="34"/>
      <c r="I30" s="34"/>
    </row>
    <row r="31" spans="1:9" ht="12.75" customHeight="1">
      <c r="A31" s="31"/>
      <c r="B31" s="31"/>
      <c r="C31" s="31" t="s">
        <v>52</v>
      </c>
      <c r="D31" s="32" t="s">
        <v>53</v>
      </c>
      <c r="E31" s="33">
        <f>F31</f>
        <v>10000</v>
      </c>
      <c r="F31" s="33">
        <v>10000</v>
      </c>
      <c r="G31" s="33"/>
      <c r="H31" s="34"/>
      <c r="I31" s="34"/>
    </row>
    <row r="32" spans="1:9" ht="12.75" customHeight="1">
      <c r="A32" s="50" t="s">
        <v>62</v>
      </c>
      <c r="B32" s="25"/>
      <c r="C32" s="25"/>
      <c r="D32" s="26" t="s">
        <v>63</v>
      </c>
      <c r="E32" s="27">
        <f>E33+E36+E56+E61+E63+E66+E45</f>
        <v>19020671</v>
      </c>
      <c r="F32" s="27">
        <f>F33+F36+F56+F61+F63+F66+F45</f>
        <v>19020671</v>
      </c>
      <c r="G32" s="27">
        <f>G33+G36+G56+G61+G63+G66+G45</f>
        <v>0</v>
      </c>
      <c r="H32" s="27">
        <f>H33+H36+H56+H61+H63+H66+H45</f>
        <v>0</v>
      </c>
      <c r="I32" s="27">
        <f>I33+I36+I56+I61+I63+I66+I45</f>
        <v>0</v>
      </c>
    </row>
    <row r="33" spans="1:9" ht="12.75" customHeight="1">
      <c r="A33" s="28"/>
      <c r="B33" s="28">
        <v>75601</v>
      </c>
      <c r="C33" s="28"/>
      <c r="D33" s="29" t="s">
        <v>64</v>
      </c>
      <c r="E33" s="30">
        <f>SUM(E34:E35)</f>
        <v>3050</v>
      </c>
      <c r="F33" s="30">
        <f>SUM(F34:F35)</f>
        <v>3050</v>
      </c>
      <c r="G33" s="30">
        <f>SUM(G34:G35)</f>
        <v>0</v>
      </c>
      <c r="H33" s="30">
        <f>SUM(H34:H35)</f>
        <v>0</v>
      </c>
      <c r="I33" s="30">
        <f>SUM(I34:I35)</f>
        <v>0</v>
      </c>
    </row>
    <row r="34" spans="1:9" ht="12.75" customHeight="1">
      <c r="A34" s="28"/>
      <c r="B34" s="31"/>
      <c r="C34" s="31" t="s">
        <v>65</v>
      </c>
      <c r="D34" s="32" t="s">
        <v>66</v>
      </c>
      <c r="E34" s="33">
        <f>F34</f>
        <v>3000</v>
      </c>
      <c r="F34" s="33">
        <v>3000</v>
      </c>
      <c r="G34" s="33"/>
      <c r="H34" s="34"/>
      <c r="I34" s="34"/>
    </row>
    <row r="35" spans="1:9" ht="12.75" customHeight="1">
      <c r="A35" s="28"/>
      <c r="B35" s="31"/>
      <c r="C35" s="31" t="s">
        <v>67</v>
      </c>
      <c r="D35" s="32" t="s">
        <v>68</v>
      </c>
      <c r="E35" s="33">
        <f>F35</f>
        <v>50</v>
      </c>
      <c r="F35" s="33">
        <v>50</v>
      </c>
      <c r="G35" s="33"/>
      <c r="H35" s="34"/>
      <c r="I35" s="34"/>
    </row>
    <row r="36" spans="1:9" ht="12.75" customHeight="1">
      <c r="A36" s="28"/>
      <c r="B36" s="28">
        <v>75615</v>
      </c>
      <c r="C36" s="28"/>
      <c r="D36" s="29" t="s">
        <v>69</v>
      </c>
      <c r="E36" s="30">
        <f>SUM(E37:E44)</f>
        <v>6669299</v>
      </c>
      <c r="F36" s="30">
        <f>SUM(F37:F44)</f>
        <v>6669299</v>
      </c>
      <c r="G36" s="30">
        <f>SUM(G37:G44)</f>
        <v>0</v>
      </c>
      <c r="H36" s="30">
        <f>SUM(H37:H44)</f>
        <v>0</v>
      </c>
      <c r="I36" s="30">
        <f>SUM(I37:I44)</f>
        <v>0</v>
      </c>
    </row>
    <row r="37" spans="1:9" ht="12.75" customHeight="1">
      <c r="A37" s="31"/>
      <c r="B37" s="31"/>
      <c r="C37" s="31" t="s">
        <v>70</v>
      </c>
      <c r="D37" s="32" t="s">
        <v>71</v>
      </c>
      <c r="E37" s="33">
        <f aca="true" t="shared" si="3" ref="E37:E44">F37</f>
        <v>6163000</v>
      </c>
      <c r="F37" s="33">
        <v>6163000</v>
      </c>
      <c r="G37" s="33"/>
      <c r="H37" s="51"/>
      <c r="I37" s="41"/>
    </row>
    <row r="38" spans="1:11" s="53" customFormat="1" ht="12.75" customHeight="1">
      <c r="A38" s="52"/>
      <c r="B38" s="31"/>
      <c r="C38" s="31" t="s">
        <v>72</v>
      </c>
      <c r="D38" s="32" t="s">
        <v>73</v>
      </c>
      <c r="E38" s="33">
        <f t="shared" si="3"/>
        <v>119000</v>
      </c>
      <c r="F38" s="33">
        <f>107000+12000</f>
        <v>119000</v>
      </c>
      <c r="G38" s="33"/>
      <c r="H38" s="41"/>
      <c r="I38" s="41"/>
      <c r="K38" s="54"/>
    </row>
    <row r="39" spans="1:9" ht="12.75" customHeight="1">
      <c r="A39" s="31"/>
      <c r="B39" s="31"/>
      <c r="C39" s="31" t="s">
        <v>74</v>
      </c>
      <c r="D39" s="32" t="s">
        <v>75</v>
      </c>
      <c r="E39" s="33">
        <f t="shared" si="3"/>
        <v>227413</v>
      </c>
      <c r="F39" s="33">
        <v>227413</v>
      </c>
      <c r="G39" s="33"/>
      <c r="H39" s="41"/>
      <c r="I39" s="41"/>
    </row>
    <row r="40" spans="1:9" ht="12.75" customHeight="1">
      <c r="A40" s="48"/>
      <c r="B40" s="31"/>
      <c r="C40" s="31" t="s">
        <v>76</v>
      </c>
      <c r="D40" s="32" t="s">
        <v>77</v>
      </c>
      <c r="E40" s="33">
        <f t="shared" si="3"/>
        <v>147676</v>
      </c>
      <c r="F40" s="33">
        <v>147676</v>
      </c>
      <c r="G40" s="33"/>
      <c r="H40" s="41"/>
      <c r="I40" s="41"/>
    </row>
    <row r="41" spans="1:9" ht="12.75" customHeight="1">
      <c r="A41" s="48"/>
      <c r="B41" s="31"/>
      <c r="C41" s="31" t="s">
        <v>78</v>
      </c>
      <c r="D41" s="32" t="s">
        <v>79</v>
      </c>
      <c r="E41" s="33">
        <f t="shared" si="3"/>
        <v>5000</v>
      </c>
      <c r="F41" s="33">
        <v>5000</v>
      </c>
      <c r="G41" s="33"/>
      <c r="H41" s="34"/>
      <c r="I41" s="34"/>
    </row>
    <row r="42" spans="1:9" ht="12.75" customHeight="1">
      <c r="A42" s="48"/>
      <c r="B42" s="31"/>
      <c r="C42" s="31" t="s">
        <v>45</v>
      </c>
      <c r="D42" s="32" t="s">
        <v>46</v>
      </c>
      <c r="E42" s="33">
        <f t="shared" si="3"/>
        <v>310</v>
      </c>
      <c r="F42" s="33">
        <v>310</v>
      </c>
      <c r="G42" s="33"/>
      <c r="H42" s="34"/>
      <c r="I42" s="34"/>
    </row>
    <row r="43" spans="1:9" ht="12.75" customHeight="1">
      <c r="A43" s="48"/>
      <c r="B43" s="31"/>
      <c r="C43" s="31" t="s">
        <v>67</v>
      </c>
      <c r="D43" s="32" t="s">
        <v>80</v>
      </c>
      <c r="E43" s="33">
        <f t="shared" si="3"/>
        <v>5000</v>
      </c>
      <c r="F43" s="33">
        <v>5000</v>
      </c>
      <c r="G43" s="33"/>
      <c r="H43" s="34"/>
      <c r="I43" s="34"/>
    </row>
    <row r="44" spans="1:9" ht="12.75" customHeight="1">
      <c r="A44" s="48"/>
      <c r="B44" s="31"/>
      <c r="C44" s="31">
        <v>2680</v>
      </c>
      <c r="D44" s="32" t="s">
        <v>81</v>
      </c>
      <c r="E44" s="33">
        <f t="shared" si="3"/>
        <v>1900</v>
      </c>
      <c r="F44" s="33">
        <v>1900</v>
      </c>
      <c r="G44" s="33"/>
      <c r="H44" s="34"/>
      <c r="I44" s="34"/>
    </row>
    <row r="45" spans="1:9" ht="47.25">
      <c r="A45" s="55"/>
      <c r="B45" s="28">
        <v>75616</v>
      </c>
      <c r="C45" s="28"/>
      <c r="D45" s="29" t="s">
        <v>82</v>
      </c>
      <c r="E45" s="30">
        <f>SUM(E46:E55)</f>
        <v>3480014</v>
      </c>
      <c r="F45" s="30">
        <f>SUM(F46:F55)</f>
        <v>3480014</v>
      </c>
      <c r="G45" s="30">
        <f>SUM(G46:G55)</f>
        <v>0</v>
      </c>
      <c r="H45" s="30">
        <f>SUM(H46:H55)</f>
        <v>0</v>
      </c>
      <c r="I45" s="30">
        <f>SUM(I46:I55)</f>
        <v>0</v>
      </c>
    </row>
    <row r="46" spans="1:9" ht="12.75" customHeight="1">
      <c r="A46" s="48"/>
      <c r="B46" s="31"/>
      <c r="C46" s="31" t="s">
        <v>70</v>
      </c>
      <c r="D46" s="32" t="s">
        <v>71</v>
      </c>
      <c r="E46" s="33">
        <f aca="true" t="shared" si="4" ref="E46:E55">F46</f>
        <v>1796000</v>
      </c>
      <c r="F46" s="33">
        <f>1300000+496000</f>
        <v>1796000</v>
      </c>
      <c r="G46" s="33"/>
      <c r="H46" s="34"/>
      <c r="I46" s="34"/>
    </row>
    <row r="47" spans="1:9" s="53" customFormat="1" ht="12.75" customHeight="1">
      <c r="A47" s="48"/>
      <c r="B47" s="31"/>
      <c r="C47" s="31" t="s">
        <v>72</v>
      </c>
      <c r="D47" s="32" t="s">
        <v>73</v>
      </c>
      <c r="E47" s="33">
        <f t="shared" si="4"/>
        <v>650204</v>
      </c>
      <c r="F47" s="33">
        <f>552204+98000</f>
        <v>650204</v>
      </c>
      <c r="G47" s="33"/>
      <c r="H47" s="56"/>
      <c r="I47" s="56"/>
    </row>
    <row r="48" spans="1:9" ht="12.75" customHeight="1">
      <c r="A48" s="48"/>
      <c r="B48" s="31"/>
      <c r="C48" s="31" t="s">
        <v>74</v>
      </c>
      <c r="D48" s="32" t="s">
        <v>83</v>
      </c>
      <c r="E48" s="33">
        <f t="shared" si="4"/>
        <v>2800</v>
      </c>
      <c r="F48" s="33">
        <v>2800</v>
      </c>
      <c r="G48" s="33"/>
      <c r="H48" s="34"/>
      <c r="I48" s="34"/>
    </row>
    <row r="49" spans="1:9" ht="12.75" customHeight="1">
      <c r="A49" s="48"/>
      <c r="B49" s="31"/>
      <c r="C49" s="31" t="s">
        <v>76</v>
      </c>
      <c r="D49" s="32" t="s">
        <v>77</v>
      </c>
      <c r="E49" s="33">
        <f t="shared" si="4"/>
        <v>620110</v>
      </c>
      <c r="F49" s="33">
        <v>620110</v>
      </c>
      <c r="G49" s="33"/>
      <c r="H49" s="34"/>
      <c r="I49" s="34"/>
    </row>
    <row r="50" spans="1:9" ht="12.75" customHeight="1">
      <c r="A50" s="48"/>
      <c r="B50" s="31"/>
      <c r="C50" s="31" t="s">
        <v>84</v>
      </c>
      <c r="D50" s="32" t="s">
        <v>85</v>
      </c>
      <c r="E50" s="33">
        <f t="shared" si="4"/>
        <v>40000</v>
      </c>
      <c r="F50" s="33">
        <v>40000</v>
      </c>
      <c r="G50" s="33"/>
      <c r="H50" s="34"/>
      <c r="I50" s="34"/>
    </row>
    <row r="51" spans="1:9" ht="12.75" customHeight="1">
      <c r="A51" s="48"/>
      <c r="B51" s="31"/>
      <c r="C51" s="31" t="s">
        <v>86</v>
      </c>
      <c r="D51" s="32" t="s">
        <v>87</v>
      </c>
      <c r="E51" s="33">
        <f t="shared" si="4"/>
        <v>15000</v>
      </c>
      <c r="F51" s="33">
        <v>15000</v>
      </c>
      <c r="G51" s="33"/>
      <c r="H51" s="34"/>
      <c r="I51" s="34"/>
    </row>
    <row r="52" spans="1:9" ht="12.75" customHeight="1">
      <c r="A52" s="48"/>
      <c r="B52" s="31"/>
      <c r="C52" s="31" t="s">
        <v>88</v>
      </c>
      <c r="D52" s="32" t="s">
        <v>89</v>
      </c>
      <c r="E52" s="33">
        <f t="shared" si="4"/>
        <v>10000</v>
      </c>
      <c r="F52" s="33">
        <v>10000</v>
      </c>
      <c r="G52" s="33"/>
      <c r="H52" s="34"/>
      <c r="I52" s="34"/>
    </row>
    <row r="53" spans="1:9" ht="12.75" customHeight="1">
      <c r="A53" s="31"/>
      <c r="B53" s="31"/>
      <c r="C53" s="31" t="s">
        <v>78</v>
      </c>
      <c r="D53" s="32" t="s">
        <v>79</v>
      </c>
      <c r="E53" s="33">
        <f t="shared" si="4"/>
        <v>310000</v>
      </c>
      <c r="F53" s="33">
        <v>310000</v>
      </c>
      <c r="G53" s="33"/>
      <c r="H53" s="34"/>
      <c r="I53" s="34"/>
    </row>
    <row r="54" spans="1:9" ht="12.75" customHeight="1">
      <c r="A54" s="31"/>
      <c r="B54" s="31"/>
      <c r="C54" s="31" t="s">
        <v>45</v>
      </c>
      <c r="D54" s="32" t="s">
        <v>90</v>
      </c>
      <c r="E54" s="33">
        <f t="shared" si="4"/>
        <v>10900</v>
      </c>
      <c r="F54" s="33">
        <v>10900</v>
      </c>
      <c r="G54" s="33"/>
      <c r="H54" s="34"/>
      <c r="I54" s="34"/>
    </row>
    <row r="55" spans="1:9" ht="12.75" customHeight="1">
      <c r="A55" s="31"/>
      <c r="B55" s="31"/>
      <c r="C55" s="31" t="s">
        <v>67</v>
      </c>
      <c r="D55" s="32" t="s">
        <v>80</v>
      </c>
      <c r="E55" s="33">
        <f t="shared" si="4"/>
        <v>25000</v>
      </c>
      <c r="F55" s="33">
        <v>25000</v>
      </c>
      <c r="G55" s="33"/>
      <c r="H55" s="34"/>
      <c r="I55" s="34"/>
    </row>
    <row r="56" spans="1:9" ht="12.75" customHeight="1">
      <c r="A56" s="28"/>
      <c r="B56" s="28">
        <v>75618</v>
      </c>
      <c r="C56" s="28"/>
      <c r="D56" s="29" t="s">
        <v>91</v>
      </c>
      <c r="E56" s="30">
        <f>SUM(E57:E60)</f>
        <v>477500</v>
      </c>
      <c r="F56" s="30">
        <f>SUM(F57:F60)</f>
        <v>477500</v>
      </c>
      <c r="G56" s="30">
        <f>SUM(G57:G60)</f>
        <v>0</v>
      </c>
      <c r="H56" s="30">
        <f>SUM(H57:H60)</f>
        <v>0</v>
      </c>
      <c r="I56" s="30">
        <f>SUM(I57:I60)</f>
        <v>0</v>
      </c>
    </row>
    <row r="57" spans="1:9" ht="12.75" customHeight="1">
      <c r="A57" s="31"/>
      <c r="B57" s="31"/>
      <c r="C57" s="31" t="s">
        <v>92</v>
      </c>
      <c r="D57" s="32" t="s">
        <v>93</v>
      </c>
      <c r="E57" s="33">
        <f aca="true" t="shared" si="5" ref="E57:E62">F57</f>
        <v>90000</v>
      </c>
      <c r="F57" s="33">
        <v>90000</v>
      </c>
      <c r="G57" s="33"/>
      <c r="H57" s="34"/>
      <c r="I57" s="34"/>
    </row>
    <row r="58" spans="1:9" ht="12.75" customHeight="1">
      <c r="A58" s="31"/>
      <c r="B58" s="31"/>
      <c r="C58" s="31" t="s">
        <v>94</v>
      </c>
      <c r="D58" s="32" t="s">
        <v>95</v>
      </c>
      <c r="E58" s="33">
        <f t="shared" si="5"/>
        <v>280000</v>
      </c>
      <c r="F58" s="33">
        <v>280000</v>
      </c>
      <c r="G58" s="33"/>
      <c r="H58" s="34"/>
      <c r="I58" s="34"/>
    </row>
    <row r="59" spans="1:9" ht="12.75" customHeight="1">
      <c r="A59" s="31"/>
      <c r="B59" s="31"/>
      <c r="C59" s="31" t="s">
        <v>96</v>
      </c>
      <c r="D59" s="32" t="s">
        <v>97</v>
      </c>
      <c r="E59" s="33">
        <f t="shared" si="5"/>
        <v>107000</v>
      </c>
      <c r="F59" s="33">
        <f>70000+37000</f>
        <v>107000</v>
      </c>
      <c r="G59" s="33"/>
      <c r="H59" s="34"/>
      <c r="I59" s="34"/>
    </row>
    <row r="60" spans="1:9" ht="12.75" customHeight="1">
      <c r="A60" s="31"/>
      <c r="B60" s="31"/>
      <c r="C60" s="31" t="s">
        <v>45</v>
      </c>
      <c r="D60" s="32" t="s">
        <v>98</v>
      </c>
      <c r="E60" s="33">
        <f t="shared" si="5"/>
        <v>500</v>
      </c>
      <c r="F60" s="33">
        <v>500</v>
      </c>
      <c r="G60" s="33"/>
      <c r="H60" s="34"/>
      <c r="I60" s="34"/>
    </row>
    <row r="61" spans="1:9" s="57" customFormat="1" ht="12.75" customHeight="1">
      <c r="A61" s="28"/>
      <c r="B61" s="28">
        <v>75619</v>
      </c>
      <c r="C61" s="28"/>
      <c r="D61" s="29" t="s">
        <v>99</v>
      </c>
      <c r="E61" s="30">
        <f t="shared" si="5"/>
        <v>750</v>
      </c>
      <c r="F61" s="30">
        <f>F62</f>
        <v>750</v>
      </c>
      <c r="G61" s="30"/>
      <c r="H61" s="56"/>
      <c r="I61" s="56"/>
    </row>
    <row r="62" spans="1:9" ht="12.75" customHeight="1">
      <c r="A62" s="31"/>
      <c r="B62" s="31"/>
      <c r="C62" s="31" t="s">
        <v>100</v>
      </c>
      <c r="D62" s="32" t="s">
        <v>101</v>
      </c>
      <c r="E62" s="33">
        <f t="shared" si="5"/>
        <v>750</v>
      </c>
      <c r="F62" s="33">
        <v>750</v>
      </c>
      <c r="G62" s="33"/>
      <c r="H62" s="34"/>
      <c r="I62" s="34"/>
    </row>
    <row r="63" spans="1:9" ht="12.75" customHeight="1">
      <c r="A63" s="28"/>
      <c r="B63" s="28">
        <v>75621</v>
      </c>
      <c r="C63" s="28"/>
      <c r="D63" s="29" t="s">
        <v>102</v>
      </c>
      <c r="E63" s="30">
        <f>E64+E65</f>
        <v>8389773</v>
      </c>
      <c r="F63" s="30">
        <f>F64+F65</f>
        <v>8389773</v>
      </c>
      <c r="G63" s="30">
        <f>G64+G65</f>
        <v>0</v>
      </c>
      <c r="H63" s="30">
        <f>H64+H65</f>
        <v>0</v>
      </c>
      <c r="I63" s="30">
        <f>I64+I65</f>
        <v>0</v>
      </c>
    </row>
    <row r="64" spans="1:9" ht="12.75" customHeight="1">
      <c r="A64" s="31"/>
      <c r="B64" s="31"/>
      <c r="C64" s="31" t="s">
        <v>103</v>
      </c>
      <c r="D64" s="32" t="s">
        <v>104</v>
      </c>
      <c r="E64" s="33">
        <f>F64</f>
        <v>8089773</v>
      </c>
      <c r="F64" s="33">
        <v>8089773</v>
      </c>
      <c r="G64" s="33"/>
      <c r="H64" s="34"/>
      <c r="I64" s="34"/>
    </row>
    <row r="65" spans="1:9" ht="12.75" customHeight="1">
      <c r="A65" s="31"/>
      <c r="B65" s="31"/>
      <c r="C65" s="31" t="s">
        <v>105</v>
      </c>
      <c r="D65" s="32" t="s">
        <v>106</v>
      </c>
      <c r="E65" s="33">
        <f>F65</f>
        <v>300000</v>
      </c>
      <c r="F65" s="33">
        <v>300000</v>
      </c>
      <c r="G65" s="33"/>
      <c r="H65" s="34"/>
      <c r="I65" s="34"/>
    </row>
    <row r="66" spans="1:9" ht="12.75" customHeight="1">
      <c r="A66" s="28"/>
      <c r="B66" s="28">
        <v>75624</v>
      </c>
      <c r="C66" s="28"/>
      <c r="D66" s="29" t="s">
        <v>107</v>
      </c>
      <c r="E66" s="33">
        <f>F66</f>
        <v>285</v>
      </c>
      <c r="F66" s="30">
        <f>F67</f>
        <v>285</v>
      </c>
      <c r="G66" s="30"/>
      <c r="H66" s="34"/>
      <c r="I66" s="34"/>
    </row>
    <row r="67" spans="1:9" ht="12.75" customHeight="1">
      <c r="A67" s="31"/>
      <c r="B67" s="31"/>
      <c r="C67" s="31" t="s">
        <v>108</v>
      </c>
      <c r="D67" s="32" t="s">
        <v>109</v>
      </c>
      <c r="E67" s="33">
        <f>F67</f>
        <v>285</v>
      </c>
      <c r="F67" s="33">
        <v>285</v>
      </c>
      <c r="G67" s="33"/>
      <c r="H67" s="34"/>
      <c r="I67" s="34"/>
    </row>
    <row r="68" spans="1:9" ht="12.75" customHeight="1">
      <c r="A68" s="25">
        <v>758</v>
      </c>
      <c r="B68" s="25"/>
      <c r="C68" s="25"/>
      <c r="D68" s="26" t="s">
        <v>110</v>
      </c>
      <c r="E68" s="27">
        <f>E69+E71+E73</f>
        <v>13366281</v>
      </c>
      <c r="F68" s="27">
        <f>F69+F71+F73</f>
        <v>13366281</v>
      </c>
      <c r="G68" s="27">
        <f>G69+G71+G73</f>
        <v>0</v>
      </c>
      <c r="H68" s="27">
        <f>H69+H71+H73</f>
        <v>0</v>
      </c>
      <c r="I68" s="27">
        <f>I69+I71+I73</f>
        <v>0</v>
      </c>
    </row>
    <row r="69" spans="1:9" ht="12.75" customHeight="1">
      <c r="A69" s="28"/>
      <c r="B69" s="28">
        <v>75801</v>
      </c>
      <c r="C69" s="28"/>
      <c r="D69" s="29" t="s">
        <v>111</v>
      </c>
      <c r="E69" s="30">
        <f>E70</f>
        <v>10570651</v>
      </c>
      <c r="F69" s="30">
        <f>F70</f>
        <v>10570651</v>
      </c>
      <c r="G69" s="30"/>
      <c r="H69" s="30">
        <f>H70</f>
        <v>0</v>
      </c>
      <c r="I69" s="30"/>
    </row>
    <row r="70" spans="1:9" ht="12.75" customHeight="1">
      <c r="A70" s="28"/>
      <c r="B70" s="31"/>
      <c r="C70" s="31">
        <v>2920</v>
      </c>
      <c r="D70" s="32" t="s">
        <v>112</v>
      </c>
      <c r="E70" s="33">
        <f>F70</f>
        <v>10570651</v>
      </c>
      <c r="F70" s="33">
        <v>10570651</v>
      </c>
      <c r="G70" s="33"/>
      <c r="H70" s="34"/>
      <c r="I70" s="34"/>
    </row>
    <row r="71" spans="1:9" ht="12.75" customHeight="1">
      <c r="A71" s="28"/>
      <c r="B71" s="28">
        <v>75807</v>
      </c>
      <c r="C71" s="28"/>
      <c r="D71" s="29" t="s">
        <v>113</v>
      </c>
      <c r="E71" s="30">
        <f>E72</f>
        <v>2451510</v>
      </c>
      <c r="F71" s="30">
        <f>F72</f>
        <v>2451510</v>
      </c>
      <c r="G71" s="30">
        <f>G72</f>
        <v>0</v>
      </c>
      <c r="H71" s="30">
        <f>H72</f>
        <v>0</v>
      </c>
      <c r="I71" s="30">
        <f>I72</f>
        <v>0</v>
      </c>
    </row>
    <row r="72" spans="1:9" ht="12.75" customHeight="1">
      <c r="A72" s="28"/>
      <c r="B72" s="31"/>
      <c r="C72" s="31">
        <v>2920</v>
      </c>
      <c r="D72" s="32" t="s">
        <v>112</v>
      </c>
      <c r="E72" s="33">
        <f>F72</f>
        <v>2451510</v>
      </c>
      <c r="F72" s="33">
        <v>2451510</v>
      </c>
      <c r="G72" s="33"/>
      <c r="H72" s="34"/>
      <c r="I72" s="34"/>
    </row>
    <row r="73" spans="1:9" ht="12.75" customHeight="1">
      <c r="A73" s="28"/>
      <c r="B73" s="28">
        <v>75831</v>
      </c>
      <c r="C73" s="28"/>
      <c r="D73" s="29" t="s">
        <v>114</v>
      </c>
      <c r="E73" s="30">
        <f>E74</f>
        <v>344120</v>
      </c>
      <c r="F73" s="30">
        <f>F74</f>
        <v>344120</v>
      </c>
      <c r="G73" s="30">
        <f>G74</f>
        <v>0</v>
      </c>
      <c r="H73" s="30">
        <f>H74</f>
        <v>0</v>
      </c>
      <c r="I73" s="30">
        <f>I74</f>
        <v>0</v>
      </c>
    </row>
    <row r="74" spans="1:9" ht="12.75" customHeight="1">
      <c r="A74" s="28"/>
      <c r="B74" s="31"/>
      <c r="C74" s="31">
        <v>2920</v>
      </c>
      <c r="D74" s="32" t="s">
        <v>112</v>
      </c>
      <c r="E74" s="33">
        <f>F74</f>
        <v>344120</v>
      </c>
      <c r="F74" s="33">
        <v>344120</v>
      </c>
      <c r="G74" s="33"/>
      <c r="H74" s="34"/>
      <c r="I74" s="34"/>
    </row>
    <row r="75" spans="1:10" ht="18.75" customHeight="1">
      <c r="A75" s="25">
        <v>801</v>
      </c>
      <c r="B75" s="25"/>
      <c r="C75" s="25"/>
      <c r="D75" s="26" t="s">
        <v>115</v>
      </c>
      <c r="E75" s="27">
        <f>E76+E88+E95+E82+E97</f>
        <v>2390275.46</v>
      </c>
      <c r="F75" s="27">
        <f>F76+F88+F95+F82+F97</f>
        <v>2390275.46</v>
      </c>
      <c r="G75" s="27">
        <f>G76+G88+G95+G82+G97</f>
        <v>668554.4600000001</v>
      </c>
      <c r="H75" s="27">
        <f>H76+H88+H95+H82+H97</f>
        <v>0</v>
      </c>
      <c r="I75" s="27">
        <f>I76+I88+I95+I82+I97</f>
        <v>0</v>
      </c>
      <c r="J75" s="58"/>
    </row>
    <row r="76" spans="1:9" ht="12.75" customHeight="1">
      <c r="A76" s="28"/>
      <c r="B76" s="28">
        <v>80101</v>
      </c>
      <c r="C76" s="28"/>
      <c r="D76" s="29" t="s">
        <v>116</v>
      </c>
      <c r="E76" s="30">
        <f>SUM(E77:E81)</f>
        <v>33217</v>
      </c>
      <c r="F76" s="30">
        <f>SUM(F77:F81)</f>
        <v>33217</v>
      </c>
      <c r="G76" s="30">
        <f>SUM(G77:G81)</f>
        <v>0</v>
      </c>
      <c r="H76" s="30">
        <f>SUM(H77:H81)</f>
        <v>0</v>
      </c>
      <c r="I76" s="30">
        <f>SUM(I77:I81)</f>
        <v>0</v>
      </c>
    </row>
    <row r="77" spans="1:9" ht="12.75" customHeight="1">
      <c r="A77" s="28"/>
      <c r="B77" s="28"/>
      <c r="C77" s="31" t="s">
        <v>45</v>
      </c>
      <c r="D77" s="32" t="s">
        <v>117</v>
      </c>
      <c r="E77" s="33">
        <f>F77</f>
        <v>26</v>
      </c>
      <c r="F77" s="33">
        <f>'zał 12'!H6</f>
        <v>26</v>
      </c>
      <c r="G77" s="59"/>
      <c r="H77" s="59"/>
      <c r="I77" s="30"/>
    </row>
    <row r="78" spans="1:9" ht="47.25">
      <c r="A78" s="48"/>
      <c r="B78" s="31"/>
      <c r="C78" s="31" t="s">
        <v>31</v>
      </c>
      <c r="D78" s="32" t="s">
        <v>47</v>
      </c>
      <c r="E78" s="33">
        <f>F78</f>
        <v>21960</v>
      </c>
      <c r="F78" s="33">
        <f>'zał 12'!H7</f>
        <v>21960</v>
      </c>
      <c r="G78" s="33"/>
      <c r="H78" s="33"/>
      <c r="I78" s="33"/>
    </row>
    <row r="79" spans="1:9" ht="12.75" customHeight="1">
      <c r="A79" s="31"/>
      <c r="B79" s="31"/>
      <c r="C79" s="60" t="s">
        <v>60</v>
      </c>
      <c r="D79" s="32" t="s">
        <v>61</v>
      </c>
      <c r="E79" s="33">
        <f>F79</f>
        <v>0</v>
      </c>
      <c r="F79" s="33">
        <f>'zał 12'!H8</f>
        <v>0</v>
      </c>
      <c r="G79" s="33"/>
      <c r="H79" s="33"/>
      <c r="I79" s="33"/>
    </row>
    <row r="80" spans="1:9" ht="12.75" customHeight="1">
      <c r="A80" s="31"/>
      <c r="B80" s="31"/>
      <c r="C80" s="60" t="s">
        <v>52</v>
      </c>
      <c r="D80" s="32" t="s">
        <v>53</v>
      </c>
      <c r="E80" s="33">
        <f>F80</f>
        <v>1300</v>
      </c>
      <c r="F80" s="33">
        <f>'zał 12'!H9</f>
        <v>1300</v>
      </c>
      <c r="G80" s="33"/>
      <c r="H80" s="33"/>
      <c r="I80" s="33"/>
    </row>
    <row r="81" spans="1:9" ht="12.75" customHeight="1">
      <c r="A81" s="61"/>
      <c r="B81" s="62"/>
      <c r="C81" s="62" t="s">
        <v>118</v>
      </c>
      <c r="D81" s="63" t="s">
        <v>119</v>
      </c>
      <c r="E81" s="33">
        <f>F81</f>
        <v>9931</v>
      </c>
      <c r="F81" s="33">
        <f>'zał 12'!H10</f>
        <v>9931</v>
      </c>
      <c r="G81" s="33"/>
      <c r="H81" s="33"/>
      <c r="I81" s="33"/>
    </row>
    <row r="82" spans="1:9" ht="12.75" customHeight="1">
      <c r="A82" s="28" t="s">
        <v>14</v>
      </c>
      <c r="B82" s="28" t="s">
        <v>120</v>
      </c>
      <c r="C82" s="28"/>
      <c r="D82" s="29" t="s">
        <v>121</v>
      </c>
      <c r="E82" s="30">
        <f>SUM(E83:E87)</f>
        <v>840803</v>
      </c>
      <c r="F82" s="30">
        <f>SUM(F83:F87)</f>
        <v>840803</v>
      </c>
      <c r="G82" s="30">
        <f>SUM(G83:G85)</f>
        <v>0</v>
      </c>
      <c r="H82" s="30">
        <f>SUM(H83:H85)</f>
        <v>0</v>
      </c>
      <c r="I82" s="30">
        <f>SUM(I83:I85)</f>
        <v>0</v>
      </c>
    </row>
    <row r="83" spans="1:9" ht="47.25">
      <c r="A83" s="31"/>
      <c r="B83" s="31"/>
      <c r="C83" s="31" t="s">
        <v>31</v>
      </c>
      <c r="D83" s="32" t="s">
        <v>122</v>
      </c>
      <c r="E83" s="33">
        <f>F83</f>
        <v>12696</v>
      </c>
      <c r="F83" s="33">
        <f>'zał 13'!G6</f>
        <v>12696</v>
      </c>
      <c r="G83" s="33"/>
      <c r="H83" s="33"/>
      <c r="I83" s="33"/>
    </row>
    <row r="84" spans="1:9" ht="12.75" customHeight="1">
      <c r="A84" s="31"/>
      <c r="B84" s="31"/>
      <c r="C84" s="31" t="s">
        <v>60</v>
      </c>
      <c r="D84" s="32" t="s">
        <v>61</v>
      </c>
      <c r="E84" s="33">
        <f>F84</f>
        <v>735350</v>
      </c>
      <c r="F84" s="33">
        <f>'zał 13'!G7</f>
        <v>735350</v>
      </c>
      <c r="G84" s="33"/>
      <c r="H84" s="33"/>
      <c r="I84" s="33"/>
    </row>
    <row r="85" spans="1:9" ht="12.75" customHeight="1">
      <c r="A85" s="31"/>
      <c r="B85" s="31"/>
      <c r="C85" s="31" t="s">
        <v>52</v>
      </c>
      <c r="D85" s="32" t="s">
        <v>53</v>
      </c>
      <c r="E85" s="33">
        <f>F85</f>
        <v>1800</v>
      </c>
      <c r="F85" s="33">
        <f>'zał 13'!G8</f>
        <v>1800</v>
      </c>
      <c r="G85" s="33"/>
      <c r="H85" s="33"/>
      <c r="I85" s="33"/>
    </row>
    <row r="86" spans="1:9" ht="12.75" customHeight="1">
      <c r="A86" s="61"/>
      <c r="B86" s="62"/>
      <c r="C86" s="62" t="s">
        <v>118</v>
      </c>
      <c r="D86" s="63" t="s">
        <v>119</v>
      </c>
      <c r="E86" s="33">
        <f>F86</f>
        <v>957</v>
      </c>
      <c r="F86" s="33">
        <f>'zał 13'!G9</f>
        <v>957</v>
      </c>
      <c r="G86" s="33"/>
      <c r="H86" s="33"/>
      <c r="I86" s="33"/>
    </row>
    <row r="87" spans="1:9" ht="31.5">
      <c r="A87" s="31"/>
      <c r="B87" s="31"/>
      <c r="C87" s="31" t="s">
        <v>123</v>
      </c>
      <c r="D87" s="32" t="s">
        <v>124</v>
      </c>
      <c r="E87" s="33">
        <f>F87</f>
        <v>90000</v>
      </c>
      <c r="F87" s="33">
        <v>90000</v>
      </c>
      <c r="G87" s="33"/>
      <c r="H87" s="33"/>
      <c r="I87" s="33"/>
    </row>
    <row r="88" spans="1:9" ht="12.75" customHeight="1">
      <c r="A88" s="28"/>
      <c r="B88" s="28">
        <v>80110</v>
      </c>
      <c r="C88" s="28"/>
      <c r="D88" s="29" t="s">
        <v>125</v>
      </c>
      <c r="E88" s="30">
        <f>SUM(E89:E94)</f>
        <v>26919</v>
      </c>
      <c r="F88" s="30">
        <f>SUM(F89:F94)</f>
        <v>26919</v>
      </c>
      <c r="G88" s="30">
        <f>SUM(G89:G94)</f>
        <v>0</v>
      </c>
      <c r="H88" s="30">
        <f>SUM(H89:H94)</f>
        <v>0</v>
      </c>
      <c r="I88" s="30">
        <f>SUM(I89:I94)</f>
        <v>0</v>
      </c>
    </row>
    <row r="89" spans="1:9" ht="12.75" customHeight="1">
      <c r="A89" s="28"/>
      <c r="B89" s="28"/>
      <c r="C89" s="31" t="s">
        <v>45</v>
      </c>
      <c r="D89" s="32" t="s">
        <v>117</v>
      </c>
      <c r="E89" s="33">
        <f aca="true" t="shared" si="6" ref="E89:E94">F89</f>
        <v>100</v>
      </c>
      <c r="F89" s="33">
        <f>'zał 14'!H6</f>
        <v>100</v>
      </c>
      <c r="G89" s="59"/>
      <c r="H89" s="59"/>
      <c r="I89" s="30"/>
    </row>
    <row r="90" spans="1:9" ht="47.25">
      <c r="A90" s="31"/>
      <c r="B90" s="31"/>
      <c r="C90" s="31" t="s">
        <v>31</v>
      </c>
      <c r="D90" s="32" t="s">
        <v>47</v>
      </c>
      <c r="E90" s="33">
        <f t="shared" si="6"/>
        <v>8450</v>
      </c>
      <c r="F90" s="33">
        <f>'zał 14'!H7</f>
        <v>8450</v>
      </c>
      <c r="G90" s="33"/>
      <c r="H90" s="33"/>
      <c r="I90" s="33"/>
    </row>
    <row r="91" spans="1:9" ht="12.75" customHeight="1">
      <c r="A91" s="31"/>
      <c r="B91" s="31"/>
      <c r="C91" s="31" t="s">
        <v>60</v>
      </c>
      <c r="D91" s="32" t="s">
        <v>61</v>
      </c>
      <c r="E91" s="33">
        <f t="shared" si="6"/>
        <v>1110</v>
      </c>
      <c r="F91" s="33">
        <f>'zał 14'!H8</f>
        <v>1110</v>
      </c>
      <c r="G91" s="33"/>
      <c r="H91" s="33"/>
      <c r="I91" s="33"/>
    </row>
    <row r="92" spans="1:9" ht="12.75" customHeight="1">
      <c r="A92" s="31"/>
      <c r="B92" s="31"/>
      <c r="C92" s="31" t="s">
        <v>52</v>
      </c>
      <c r="D92" s="32" t="s">
        <v>53</v>
      </c>
      <c r="E92" s="33">
        <f t="shared" si="6"/>
        <v>3515</v>
      </c>
      <c r="F92" s="33">
        <f>'zał 14'!H9</f>
        <v>3515</v>
      </c>
      <c r="G92" s="33"/>
      <c r="H92" s="34"/>
      <c r="I92" s="34"/>
    </row>
    <row r="93" spans="1:9" ht="12.75" customHeight="1">
      <c r="A93" s="61"/>
      <c r="B93" s="62"/>
      <c r="C93" s="62" t="s">
        <v>118</v>
      </c>
      <c r="D93" s="63" t="s">
        <v>119</v>
      </c>
      <c r="E93" s="33">
        <f t="shared" si="6"/>
        <v>13666</v>
      </c>
      <c r="F93" s="33">
        <f>'zał 14'!H10</f>
        <v>13666</v>
      </c>
      <c r="G93" s="33"/>
      <c r="H93" s="34"/>
      <c r="I93" s="34"/>
    </row>
    <row r="94" spans="1:9" ht="12.75" customHeight="1">
      <c r="A94" s="31"/>
      <c r="B94" s="31"/>
      <c r="C94" s="31" t="s">
        <v>100</v>
      </c>
      <c r="D94" s="32" t="s">
        <v>126</v>
      </c>
      <c r="E94" s="33">
        <f t="shared" si="6"/>
        <v>78</v>
      </c>
      <c r="F94" s="33">
        <f>'zał 14'!H11</f>
        <v>78</v>
      </c>
      <c r="G94" s="33"/>
      <c r="H94" s="34"/>
      <c r="I94" s="34"/>
    </row>
    <row r="95" spans="1:9" ht="12.75" customHeight="1">
      <c r="A95" s="28"/>
      <c r="B95" s="28">
        <v>80148</v>
      </c>
      <c r="C95" s="28"/>
      <c r="D95" s="29" t="s">
        <v>127</v>
      </c>
      <c r="E95" s="30">
        <f>E96</f>
        <v>820782</v>
      </c>
      <c r="F95" s="30">
        <f>F96</f>
        <v>820782</v>
      </c>
      <c r="G95" s="30">
        <f>G96</f>
        <v>0</v>
      </c>
      <c r="H95" s="30">
        <f>H96</f>
        <v>0</v>
      </c>
      <c r="I95" s="30">
        <f>I96</f>
        <v>0</v>
      </c>
    </row>
    <row r="96" spans="1:9" ht="12.75" customHeight="1">
      <c r="A96" s="31"/>
      <c r="B96" s="31"/>
      <c r="C96" s="31" t="s">
        <v>60</v>
      </c>
      <c r="D96" s="32" t="s">
        <v>61</v>
      </c>
      <c r="E96" s="33">
        <f>F96</f>
        <v>820782</v>
      </c>
      <c r="F96" s="33">
        <f>'zał 12'!H12+'zał 13'!G11+'zał 14'!H13</f>
        <v>820782</v>
      </c>
      <c r="G96" s="33"/>
      <c r="H96" s="34"/>
      <c r="I96" s="34"/>
    </row>
    <row r="97" spans="1:9" ht="18" customHeight="1">
      <c r="A97" s="64"/>
      <c r="B97" s="64">
        <v>80195</v>
      </c>
      <c r="C97" s="64"/>
      <c r="D97" s="65" t="s">
        <v>30</v>
      </c>
      <c r="E97" s="66">
        <f>E98+E99</f>
        <v>668554.4600000001</v>
      </c>
      <c r="F97" s="66">
        <f>F98+F99</f>
        <v>668554.4600000001</v>
      </c>
      <c r="G97" s="66">
        <f>G98+G99</f>
        <v>668554.4600000001</v>
      </c>
      <c r="H97" s="67">
        <f>H98+H99</f>
        <v>0</v>
      </c>
      <c r="I97" s="67">
        <f>I98+I99</f>
        <v>0</v>
      </c>
    </row>
    <row r="98" spans="1:9" ht="63">
      <c r="A98" s="61"/>
      <c r="B98" s="62"/>
      <c r="C98" s="68" t="s">
        <v>128</v>
      </c>
      <c r="D98" s="69" t="s">
        <v>35</v>
      </c>
      <c r="E98" s="70">
        <f>F98</f>
        <v>568271.29</v>
      </c>
      <c r="F98" s="71">
        <f>G98</f>
        <v>568271.29</v>
      </c>
      <c r="G98" s="72">
        <f>263710.5+304560.79</f>
        <v>568271.29</v>
      </c>
      <c r="H98" s="70"/>
      <c r="I98" s="70"/>
    </row>
    <row r="99" spans="1:9" ht="63">
      <c r="A99" s="61"/>
      <c r="B99" s="62"/>
      <c r="C99" s="73" t="s">
        <v>129</v>
      </c>
      <c r="D99" s="74" t="s">
        <v>35</v>
      </c>
      <c r="E99" s="70">
        <f>F99</f>
        <v>100283.17</v>
      </c>
      <c r="F99" s="71">
        <f>G99</f>
        <v>100283.17</v>
      </c>
      <c r="G99" s="70">
        <f>53746.02+46537.15</f>
        <v>100283.17</v>
      </c>
      <c r="H99" s="70"/>
      <c r="I99" s="70"/>
    </row>
    <row r="100" spans="1:10" ht="12.75" customHeight="1">
      <c r="A100" s="25">
        <v>852</v>
      </c>
      <c r="B100" s="25"/>
      <c r="C100" s="25"/>
      <c r="D100" s="26" t="s">
        <v>130</v>
      </c>
      <c r="E100" s="27">
        <f>E101+E105+E109+E114+E103+E107+E116</f>
        <v>1462600</v>
      </c>
      <c r="F100" s="27">
        <f>F101+F105+F109+F114+F103+F107+F116</f>
        <v>1462600</v>
      </c>
      <c r="G100" s="27">
        <f>G101+G105+G109+G114+G103+G107</f>
        <v>0</v>
      </c>
      <c r="H100" s="27">
        <f>H101+H105+H109+H114+H103+H107</f>
        <v>0</v>
      </c>
      <c r="I100" s="27">
        <f>I101+I105+I109+I114+I103+I107</f>
        <v>0</v>
      </c>
      <c r="J100" s="58"/>
    </row>
    <row r="101" spans="1:9" ht="31.5">
      <c r="A101" s="28"/>
      <c r="B101" s="28">
        <v>85212</v>
      </c>
      <c r="C101" s="28"/>
      <c r="D101" s="29" t="s">
        <v>131</v>
      </c>
      <c r="E101" s="30">
        <f>E102</f>
        <v>35000</v>
      </c>
      <c r="F101" s="30">
        <f>F102</f>
        <v>35000</v>
      </c>
      <c r="G101" s="30"/>
      <c r="H101" s="30">
        <f>H102</f>
        <v>0</v>
      </c>
      <c r="I101" s="30"/>
    </row>
    <row r="102" spans="1:9" ht="31.5">
      <c r="A102" s="28"/>
      <c r="B102" s="31"/>
      <c r="C102" s="31">
        <v>2360</v>
      </c>
      <c r="D102" s="32" t="s">
        <v>132</v>
      </c>
      <c r="E102" s="33">
        <f>F102</f>
        <v>35000</v>
      </c>
      <c r="F102" s="33">
        <v>35000</v>
      </c>
      <c r="G102" s="33"/>
      <c r="H102" s="34"/>
      <c r="I102" s="34"/>
    </row>
    <row r="103" spans="1:9" s="57" customFormat="1" ht="31.5">
      <c r="A103" s="44"/>
      <c r="B103" s="44">
        <v>85213</v>
      </c>
      <c r="C103" s="44"/>
      <c r="D103" s="45" t="s">
        <v>133</v>
      </c>
      <c r="E103" s="38">
        <f>E104</f>
        <v>54000</v>
      </c>
      <c r="F103" s="38">
        <f>F104</f>
        <v>54000</v>
      </c>
      <c r="G103" s="38"/>
      <c r="H103" s="75"/>
      <c r="I103" s="75"/>
    </row>
    <row r="104" spans="1:9" ht="31.5">
      <c r="A104" s="28"/>
      <c r="B104" s="31"/>
      <c r="C104" s="31">
        <v>2030</v>
      </c>
      <c r="D104" s="32" t="s">
        <v>134</v>
      </c>
      <c r="E104" s="33">
        <f>F104</f>
        <v>54000</v>
      </c>
      <c r="F104" s="33">
        <v>54000</v>
      </c>
      <c r="G104" s="33"/>
      <c r="H104" s="34"/>
      <c r="I104" s="34"/>
    </row>
    <row r="105" spans="1:9" ht="12.75" customHeight="1">
      <c r="A105" s="28"/>
      <c r="B105" s="28">
        <v>85214</v>
      </c>
      <c r="C105" s="28"/>
      <c r="D105" s="29" t="s">
        <v>135</v>
      </c>
      <c r="E105" s="30">
        <f>E106</f>
        <v>384000</v>
      </c>
      <c r="F105" s="30">
        <f>F106</f>
        <v>384000</v>
      </c>
      <c r="G105" s="30"/>
      <c r="H105" s="30">
        <f>H106</f>
        <v>0</v>
      </c>
      <c r="I105" s="30"/>
    </row>
    <row r="106" spans="1:9" ht="12.75" customHeight="1">
      <c r="A106" s="28"/>
      <c r="B106" s="31"/>
      <c r="C106" s="31">
        <v>2030</v>
      </c>
      <c r="D106" s="32" t="s">
        <v>134</v>
      </c>
      <c r="E106" s="33">
        <f>F106</f>
        <v>384000</v>
      </c>
      <c r="F106" s="33">
        <v>384000</v>
      </c>
      <c r="G106" s="33"/>
      <c r="H106" s="34"/>
      <c r="I106" s="34"/>
    </row>
    <row r="107" spans="1:9" ht="12.75" customHeight="1">
      <c r="A107" s="28"/>
      <c r="B107" s="44">
        <v>85216</v>
      </c>
      <c r="C107" s="44"/>
      <c r="D107" s="29" t="s">
        <v>136</v>
      </c>
      <c r="E107" s="30">
        <f>E108</f>
        <v>414000</v>
      </c>
      <c r="F107" s="30">
        <f>F108</f>
        <v>414000</v>
      </c>
      <c r="G107" s="30"/>
      <c r="H107" s="34"/>
      <c r="I107" s="34"/>
    </row>
    <row r="108" spans="1:9" ht="12.75" customHeight="1">
      <c r="A108" s="28"/>
      <c r="B108" s="31"/>
      <c r="C108" s="31">
        <v>2030</v>
      </c>
      <c r="D108" s="32" t="s">
        <v>134</v>
      </c>
      <c r="E108" s="33">
        <f>F108</f>
        <v>414000</v>
      </c>
      <c r="F108" s="33">
        <v>414000</v>
      </c>
      <c r="G108" s="33"/>
      <c r="H108" s="34"/>
      <c r="I108" s="34"/>
    </row>
    <row r="109" spans="1:9" ht="12.75" customHeight="1">
      <c r="A109" s="28"/>
      <c r="B109" s="28">
        <v>85219</v>
      </c>
      <c r="C109" s="28"/>
      <c r="D109" s="29" t="s">
        <v>137</v>
      </c>
      <c r="E109" s="30">
        <f>SUM(E110:E113)</f>
        <v>323600</v>
      </c>
      <c r="F109" s="30">
        <f>SUM(F110:F113)</f>
        <v>323600</v>
      </c>
      <c r="G109" s="30"/>
      <c r="H109" s="30">
        <f>SUM(H110:H113)</f>
        <v>0</v>
      </c>
      <c r="I109" s="30"/>
    </row>
    <row r="110" spans="1:9" ht="47.25">
      <c r="A110" s="31"/>
      <c r="B110" s="31"/>
      <c r="C110" s="31" t="s">
        <v>31</v>
      </c>
      <c r="D110" s="32" t="s">
        <v>122</v>
      </c>
      <c r="E110" s="33">
        <f>F110</f>
        <v>28800</v>
      </c>
      <c r="F110" s="33">
        <f>24000+4800</f>
        <v>28800</v>
      </c>
      <c r="G110" s="33"/>
      <c r="H110" s="34"/>
      <c r="I110" s="34"/>
    </row>
    <row r="111" spans="1:9" ht="12.75" customHeight="1">
      <c r="A111" s="31"/>
      <c r="B111" s="31"/>
      <c r="C111" s="31" t="s">
        <v>52</v>
      </c>
      <c r="D111" s="32" t="s">
        <v>53</v>
      </c>
      <c r="E111" s="33">
        <f>F111</f>
        <v>6000</v>
      </c>
      <c r="F111" s="33">
        <v>6000</v>
      </c>
      <c r="G111" s="33"/>
      <c r="H111" s="34"/>
      <c r="I111" s="34"/>
    </row>
    <row r="112" spans="1:9" ht="12.75" customHeight="1">
      <c r="A112" s="31"/>
      <c r="B112" s="31"/>
      <c r="C112" s="31" t="s">
        <v>100</v>
      </c>
      <c r="D112" s="32" t="s">
        <v>126</v>
      </c>
      <c r="E112" s="33">
        <f>F112</f>
        <v>800</v>
      </c>
      <c r="F112" s="33">
        <v>800</v>
      </c>
      <c r="G112" s="33"/>
      <c r="H112" s="34"/>
      <c r="I112" s="34"/>
    </row>
    <row r="113" spans="1:9" ht="12.75" customHeight="1">
      <c r="A113" s="31"/>
      <c r="B113" s="31"/>
      <c r="C113" s="31">
        <v>2030</v>
      </c>
      <c r="D113" s="32" t="s">
        <v>138</v>
      </c>
      <c r="E113" s="33">
        <f>F113</f>
        <v>288000</v>
      </c>
      <c r="F113" s="33">
        <v>288000</v>
      </c>
      <c r="G113" s="33"/>
      <c r="H113" s="34"/>
      <c r="I113" s="34"/>
    </row>
    <row r="114" spans="1:9" ht="31.5">
      <c r="A114" s="28"/>
      <c r="B114" s="76" t="s">
        <v>139</v>
      </c>
      <c r="C114" s="28"/>
      <c r="D114" s="29" t="s">
        <v>140</v>
      </c>
      <c r="E114" s="30">
        <f>E115</f>
        <v>24000</v>
      </c>
      <c r="F114" s="30">
        <f>F115</f>
        <v>24000</v>
      </c>
      <c r="G114" s="30"/>
      <c r="H114" s="30">
        <f>H115</f>
        <v>0</v>
      </c>
      <c r="I114" s="30"/>
    </row>
    <row r="115" spans="1:9" ht="12.75" customHeight="1">
      <c r="A115" s="31"/>
      <c r="B115" s="31"/>
      <c r="C115" s="31" t="s">
        <v>60</v>
      </c>
      <c r="D115" s="32" t="s">
        <v>141</v>
      </c>
      <c r="E115" s="33">
        <f>F115</f>
        <v>24000</v>
      </c>
      <c r="F115" s="33">
        <v>24000</v>
      </c>
      <c r="G115" s="33"/>
      <c r="H115" s="41"/>
      <c r="I115" s="41"/>
    </row>
    <row r="116" spans="1:9" s="57" customFormat="1" ht="12.75" customHeight="1">
      <c r="A116" s="28"/>
      <c r="B116" s="28" t="s">
        <v>142</v>
      </c>
      <c r="C116" s="28"/>
      <c r="D116" s="29" t="s">
        <v>30</v>
      </c>
      <c r="E116" s="30">
        <f>E117</f>
        <v>228000</v>
      </c>
      <c r="F116" s="30">
        <f>F117</f>
        <v>228000</v>
      </c>
      <c r="G116" s="30"/>
      <c r="H116" s="38"/>
      <c r="I116" s="38"/>
    </row>
    <row r="117" spans="1:9" ht="12.75" customHeight="1">
      <c r="A117" s="31"/>
      <c r="B117" s="31"/>
      <c r="C117" s="31" t="s">
        <v>143</v>
      </c>
      <c r="D117" s="32" t="s">
        <v>138</v>
      </c>
      <c r="E117" s="33">
        <f>F117</f>
        <v>228000</v>
      </c>
      <c r="F117" s="33">
        <v>228000</v>
      </c>
      <c r="G117" s="33"/>
      <c r="H117" s="41"/>
      <c r="I117" s="41"/>
    </row>
    <row r="118" spans="1:9" ht="12.75" customHeight="1">
      <c r="A118" s="77" t="s">
        <v>144</v>
      </c>
      <c r="B118" s="77"/>
      <c r="C118" s="78"/>
      <c r="D118" s="79" t="s">
        <v>145</v>
      </c>
      <c r="E118" s="80">
        <f>SUM(E119)</f>
        <v>186100</v>
      </c>
      <c r="F118" s="80">
        <f>SUM(F119)</f>
        <v>186100</v>
      </c>
      <c r="G118" s="80">
        <f>SUM(G119)</f>
        <v>175800</v>
      </c>
      <c r="H118" s="80">
        <f>SUM(H119)</f>
        <v>0</v>
      </c>
      <c r="I118" s="80">
        <f>SUM(I119)</f>
        <v>0</v>
      </c>
    </row>
    <row r="119" spans="1:9" ht="15.75">
      <c r="A119" s="81"/>
      <c r="B119" s="81" t="s">
        <v>146</v>
      </c>
      <c r="C119" s="68"/>
      <c r="D119" s="82" t="s">
        <v>30</v>
      </c>
      <c r="E119" s="83">
        <f>E120+E121</f>
        <v>186100</v>
      </c>
      <c r="F119" s="83">
        <f>F120+F121</f>
        <v>186100</v>
      </c>
      <c r="G119" s="83">
        <f>G120+G121</f>
        <v>175800</v>
      </c>
      <c r="H119" s="83">
        <f>H120+H121</f>
        <v>0</v>
      </c>
      <c r="I119" s="83">
        <f>I120+I121</f>
        <v>0</v>
      </c>
    </row>
    <row r="120" spans="1:9" ht="63">
      <c r="A120" s="81"/>
      <c r="B120" s="81"/>
      <c r="C120" s="68" t="s">
        <v>128</v>
      </c>
      <c r="D120" s="69" t="s">
        <v>35</v>
      </c>
      <c r="E120" s="33">
        <f>F120</f>
        <v>175800</v>
      </c>
      <c r="F120" s="84">
        <f>G120</f>
        <v>175800</v>
      </c>
      <c r="G120" s="84">
        <v>175800</v>
      </c>
      <c r="H120" s="41"/>
      <c r="I120" s="41"/>
    </row>
    <row r="121" spans="1:9" ht="63">
      <c r="A121" s="85"/>
      <c r="B121" s="85"/>
      <c r="C121" s="73" t="s">
        <v>129</v>
      </c>
      <c r="D121" s="74" t="s">
        <v>35</v>
      </c>
      <c r="E121" s="33">
        <f>F121</f>
        <v>10300</v>
      </c>
      <c r="F121" s="84">
        <v>10300</v>
      </c>
      <c r="G121" s="86">
        <f>H121+I121</f>
        <v>0</v>
      </c>
      <c r="H121" s="41"/>
      <c r="I121" s="41"/>
    </row>
    <row r="122" spans="1:9" ht="12.75" customHeight="1">
      <c r="A122" s="25">
        <v>900</v>
      </c>
      <c r="B122" s="25"/>
      <c r="C122" s="25"/>
      <c r="D122" s="26" t="s">
        <v>147</v>
      </c>
      <c r="E122" s="27">
        <f>E127+E123</f>
        <v>144500</v>
      </c>
      <c r="F122" s="27">
        <f>F127+F123</f>
        <v>144500</v>
      </c>
      <c r="G122" s="27">
        <f>G127+G123</f>
        <v>0</v>
      </c>
      <c r="H122" s="27">
        <f>H127+H123</f>
        <v>0</v>
      </c>
      <c r="I122" s="27">
        <f>I127+I123</f>
        <v>0</v>
      </c>
    </row>
    <row r="123" spans="1:9" ht="31.5">
      <c r="A123" s="28"/>
      <c r="B123" s="28" t="s">
        <v>148</v>
      </c>
      <c r="C123" s="28"/>
      <c r="D123" s="37" t="s">
        <v>149</v>
      </c>
      <c r="E123" s="30">
        <f>SUM(E124:E126)</f>
        <v>141500</v>
      </c>
      <c r="F123" s="30">
        <f>SUM(F124:F126)</f>
        <v>141500</v>
      </c>
      <c r="G123" s="30">
        <f>SUM(G124:G126)</f>
        <v>0</v>
      </c>
      <c r="H123" s="30">
        <f>SUM(H124:H126)</f>
        <v>0</v>
      </c>
      <c r="I123" s="30">
        <f>SUM(I124:I126)</f>
        <v>0</v>
      </c>
    </row>
    <row r="124" spans="1:9" ht="12.75" customHeight="1">
      <c r="A124" s="28"/>
      <c r="B124" s="28"/>
      <c r="C124" s="31" t="s">
        <v>58</v>
      </c>
      <c r="D124" s="17" t="s">
        <v>150</v>
      </c>
      <c r="E124" s="33">
        <f>F124+H124</f>
        <v>2000</v>
      </c>
      <c r="F124" s="33">
        <f>'zał 29'!D6</f>
        <v>2000</v>
      </c>
      <c r="G124" s="33"/>
      <c r="H124" s="30"/>
      <c r="I124" s="30"/>
    </row>
    <row r="125" spans="1:9" ht="12.75" customHeight="1">
      <c r="A125" s="28"/>
      <c r="B125" s="28"/>
      <c r="C125" s="31" t="s">
        <v>45</v>
      </c>
      <c r="D125" s="32" t="s">
        <v>98</v>
      </c>
      <c r="E125" s="33">
        <f>F125+H125</f>
        <v>139000</v>
      </c>
      <c r="F125" s="33">
        <f>'zał 29'!D5</f>
        <v>139000</v>
      </c>
      <c r="G125" s="33"/>
      <c r="H125" s="30"/>
      <c r="I125" s="30"/>
    </row>
    <row r="126" spans="1:9" ht="12.75" customHeight="1">
      <c r="A126" s="28"/>
      <c r="B126" s="28"/>
      <c r="C126" s="31" t="s">
        <v>52</v>
      </c>
      <c r="D126" s="32" t="s">
        <v>53</v>
      </c>
      <c r="E126" s="33">
        <f>F126+H126</f>
        <v>500</v>
      </c>
      <c r="F126" s="33">
        <f>'zał 29'!D7</f>
        <v>500</v>
      </c>
      <c r="G126" s="33"/>
      <c r="H126" s="30"/>
      <c r="I126" s="30"/>
    </row>
    <row r="127" spans="1:9" ht="15.75">
      <c r="A127" s="28"/>
      <c r="B127" s="28">
        <v>90020</v>
      </c>
      <c r="C127" s="28"/>
      <c r="D127" s="29" t="s">
        <v>151</v>
      </c>
      <c r="E127" s="30">
        <f>E128</f>
        <v>3000</v>
      </c>
      <c r="F127" s="30">
        <f>F128</f>
        <v>3000</v>
      </c>
      <c r="G127" s="30"/>
      <c r="H127" s="30">
        <f>H128</f>
        <v>0</v>
      </c>
      <c r="I127" s="30"/>
    </row>
    <row r="128" spans="1:9" ht="31.5">
      <c r="A128" s="28"/>
      <c r="B128" s="87" t="s">
        <v>152</v>
      </c>
      <c r="C128" s="87" t="s">
        <v>153</v>
      </c>
      <c r="D128" s="32" t="s">
        <v>154</v>
      </c>
      <c r="E128" s="33">
        <f>F128</f>
        <v>3000</v>
      </c>
      <c r="F128" s="33">
        <v>3000</v>
      </c>
      <c r="G128" s="33"/>
      <c r="H128" s="41"/>
      <c r="I128" s="41"/>
    </row>
    <row r="129" spans="1:9" ht="12.75" customHeight="1">
      <c r="A129" s="43">
        <v>921</v>
      </c>
      <c r="B129" s="43"/>
      <c r="C129" s="43"/>
      <c r="D129" s="26" t="s">
        <v>155</v>
      </c>
      <c r="E129" s="27">
        <f>E130+E142+E144+E140</f>
        <v>7000</v>
      </c>
      <c r="F129" s="27">
        <f>F130+F142+F144+F140</f>
        <v>7000</v>
      </c>
      <c r="G129" s="27">
        <f>G130+G142+G144+G140</f>
        <v>0</v>
      </c>
      <c r="H129" s="27">
        <f>H130+H142+H144+H140</f>
        <v>0</v>
      </c>
      <c r="I129" s="27">
        <f>I130+I142+I144+I140</f>
        <v>0</v>
      </c>
    </row>
    <row r="130" spans="1:9" ht="12.75" customHeight="1">
      <c r="A130" s="44"/>
      <c r="B130" s="44">
        <v>92109</v>
      </c>
      <c r="C130" s="44"/>
      <c r="D130" s="45" t="s">
        <v>156</v>
      </c>
      <c r="E130" s="30">
        <f>E131</f>
        <v>7000</v>
      </c>
      <c r="F130" s="30">
        <f>F131</f>
        <v>7000</v>
      </c>
      <c r="G130" s="30">
        <f>G131</f>
        <v>0</v>
      </c>
      <c r="H130" s="30">
        <f>H131</f>
        <v>0</v>
      </c>
      <c r="I130" s="30">
        <f>I131</f>
        <v>0</v>
      </c>
    </row>
    <row r="131" spans="1:9" ht="12.75" customHeight="1">
      <c r="A131" s="31"/>
      <c r="B131" s="31"/>
      <c r="C131" s="31" t="s">
        <v>60</v>
      </c>
      <c r="D131" s="32" t="s">
        <v>157</v>
      </c>
      <c r="E131" s="33">
        <f>F131</f>
        <v>7000</v>
      </c>
      <c r="F131" s="33">
        <v>7000</v>
      </c>
      <c r="G131" s="33"/>
      <c r="H131" s="41"/>
      <c r="I131" s="41"/>
    </row>
    <row r="132" spans="1:9" ht="12.75" customHeight="1">
      <c r="A132" s="26">
        <v>926</v>
      </c>
      <c r="B132" s="26"/>
      <c r="C132" s="26"/>
      <c r="D132" s="88" t="s">
        <v>158</v>
      </c>
      <c r="E132" s="35">
        <f>E133+E135</f>
        <v>1201900</v>
      </c>
      <c r="F132" s="35">
        <f>F133+F135</f>
        <v>101900</v>
      </c>
      <c r="G132" s="35">
        <f>G133+G135</f>
        <v>0</v>
      </c>
      <c r="H132" s="35">
        <f>H133+H135</f>
        <v>1100000</v>
      </c>
      <c r="I132" s="35">
        <f>I133+I135</f>
        <v>1100000</v>
      </c>
    </row>
    <row r="133" spans="1:9" ht="12.75" customHeight="1">
      <c r="A133" s="36"/>
      <c r="B133" s="36">
        <v>92601</v>
      </c>
      <c r="C133" s="36"/>
      <c r="D133" s="45" t="s">
        <v>159</v>
      </c>
      <c r="E133" s="38">
        <f>E134</f>
        <v>1100000</v>
      </c>
      <c r="F133" s="38">
        <f>F134</f>
        <v>0</v>
      </c>
      <c r="G133" s="38">
        <f>G134</f>
        <v>0</v>
      </c>
      <c r="H133" s="38">
        <f>H134</f>
        <v>1100000</v>
      </c>
      <c r="I133" s="38">
        <f>I134</f>
        <v>1100000</v>
      </c>
    </row>
    <row r="134" spans="1:9" ht="63">
      <c r="A134" s="36"/>
      <c r="B134" s="39"/>
      <c r="C134" s="31" t="s">
        <v>38</v>
      </c>
      <c r="D134" s="40" t="s">
        <v>35</v>
      </c>
      <c r="E134" s="41">
        <f>I134</f>
        <v>1100000</v>
      </c>
      <c r="F134" s="42"/>
      <c r="G134" s="42"/>
      <c r="H134" s="41">
        <f>I134</f>
        <v>1100000</v>
      </c>
      <c r="I134" s="42">
        <v>1100000</v>
      </c>
    </row>
    <row r="135" spans="1:9" ht="12.75" customHeight="1">
      <c r="A135" s="36"/>
      <c r="B135" s="36">
        <v>92605</v>
      </c>
      <c r="C135" s="36"/>
      <c r="D135" s="45" t="s">
        <v>160</v>
      </c>
      <c r="E135" s="38">
        <f>E136</f>
        <v>101900</v>
      </c>
      <c r="F135" s="38">
        <f>F136</f>
        <v>101900</v>
      </c>
      <c r="G135" s="38">
        <f>G136</f>
        <v>0</v>
      </c>
      <c r="H135" s="38">
        <f>H136</f>
        <v>0</v>
      </c>
      <c r="I135" s="38">
        <f>I136</f>
        <v>0</v>
      </c>
    </row>
    <row r="136" spans="1:9" ht="47.25">
      <c r="A136" s="36"/>
      <c r="B136" s="39"/>
      <c r="C136" s="31" t="s">
        <v>161</v>
      </c>
      <c r="D136" s="89" t="s">
        <v>162</v>
      </c>
      <c r="E136" s="41">
        <f>F136+H136</f>
        <v>101900</v>
      </c>
      <c r="F136" s="42">
        <f>12900+89000</f>
        <v>101900</v>
      </c>
      <c r="G136" s="42"/>
      <c r="H136" s="42">
        <f>I136</f>
        <v>0</v>
      </c>
      <c r="I136" s="42"/>
    </row>
    <row r="137" spans="1:9" ht="18.75" customHeight="1">
      <c r="A137" s="527" t="s">
        <v>163</v>
      </c>
      <c r="B137" s="527"/>
      <c r="C137" s="527"/>
      <c r="D137" s="527"/>
      <c r="E137" s="38">
        <f>E122+E100+E75+E68+E32+E27+E24+E16+E6+E12+E129+E132+E9+E118</f>
        <v>42202471.46</v>
      </c>
      <c r="F137" s="38">
        <f>F122+F100+F75+F68+F32+F27+F24+F16+F6+F12+F129+F132+F9+F118</f>
        <v>37109858.46</v>
      </c>
      <c r="G137" s="38">
        <f>G122+G100+G75+G68+G32+G27+G24+G16+G6+G12+G129+G132+G9+G118</f>
        <v>844354.4600000001</v>
      </c>
      <c r="H137" s="38">
        <f>H122+H100+H75+H68+H32+H27+H24+H16+H6+H12+H129+H132+H9+H118</f>
        <v>5092613</v>
      </c>
      <c r="I137" s="38">
        <f>I122+I100+I75+I68+I32+I27+I24+I16+I6+I12+I129+I132+I9+I118</f>
        <v>3626613</v>
      </c>
    </row>
    <row r="138" spans="5:7" ht="15.75">
      <c r="E138" s="90"/>
      <c r="F138" s="90"/>
      <c r="G138" s="90"/>
    </row>
    <row r="139" ht="15.75">
      <c r="E139" s="90"/>
    </row>
    <row r="140" ht="15.75">
      <c r="E140" s="91"/>
    </row>
  </sheetData>
  <sheetProtection selectLockedCells="1" selectUnlockedCells="1"/>
  <mergeCells count="10">
    <mergeCell ref="A137:D137"/>
    <mergeCell ref="A1:I1"/>
    <mergeCell ref="A2:A4"/>
    <mergeCell ref="B2:B4"/>
    <mergeCell ref="C2:C4"/>
    <mergeCell ref="D2:D4"/>
    <mergeCell ref="E2:E4"/>
    <mergeCell ref="F2:I2"/>
    <mergeCell ref="F3:F4"/>
    <mergeCell ref="H3:H4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85" r:id="rId1"/>
  <headerFooter alignWithMargins="0">
    <oddHeader>&amp;R&amp;"Times New Roman,Normalny"&amp;12Załącznik Nr 2 do Uchwały  Nr III/12/2010 Rady Miejskiej w Barlinku z dnia 30 grudnia 2010</oddHeader>
    <oddFooter>&amp;C&amp;"Times New Roman,Normalny"&amp;12Strona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defaultGridColor="0" view="pageBreakPreview" zoomScaleSheetLayoutView="100" colorId="15" workbookViewId="0" topLeftCell="A30">
      <selection activeCell="A49" sqref="A49"/>
    </sheetView>
  </sheetViews>
  <sheetFormatPr defaultColWidth="9.00390625" defaultRowHeight="12.75"/>
  <cols>
    <col min="1" max="1" width="5.125" style="341" customWidth="1"/>
    <col min="2" max="2" width="6.00390625" style="341" customWidth="1"/>
    <col min="3" max="3" width="5.875" style="341" customWidth="1"/>
    <col min="4" max="4" width="47.125" style="341" customWidth="1"/>
    <col min="5" max="5" width="11.625" style="341" customWidth="1"/>
    <col min="6" max="6" width="9.375" style="341" customWidth="1"/>
    <col min="7" max="9" width="9.625" style="341" customWidth="1"/>
    <col min="10" max="10" width="6.625" style="341" customWidth="1"/>
    <col min="11" max="11" width="6.75390625" style="341" customWidth="1"/>
    <col min="12" max="12" width="6.875" style="341" customWidth="1"/>
    <col min="13" max="17" width="6.375" style="341" customWidth="1"/>
    <col min="18" max="18" width="7.25390625" style="341" customWidth="1"/>
    <col min="19" max="16384" width="9.125" style="341" customWidth="1"/>
  </cols>
  <sheetData>
    <row r="1" spans="2:18" ht="30.75" customHeight="1">
      <c r="B1" s="529" t="s">
        <v>419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0.5" customHeight="1">
      <c r="A2" s="552" t="s">
        <v>1</v>
      </c>
      <c r="B2" s="552" t="s">
        <v>21</v>
      </c>
      <c r="C2" s="552" t="s">
        <v>22</v>
      </c>
      <c r="D2" s="552" t="s">
        <v>186</v>
      </c>
      <c r="E2" s="552" t="s">
        <v>187</v>
      </c>
      <c r="F2" s="553" t="s">
        <v>188</v>
      </c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1:18" ht="11.25" customHeight="1">
      <c r="A3" s="552"/>
      <c r="B3" s="552"/>
      <c r="C3" s="552"/>
      <c r="D3" s="552"/>
      <c r="E3" s="552"/>
      <c r="F3" s="554" t="s">
        <v>177</v>
      </c>
      <c r="G3" s="555" t="s">
        <v>25</v>
      </c>
      <c r="H3" s="555"/>
      <c r="I3" s="555"/>
      <c r="J3" s="555"/>
      <c r="K3" s="555"/>
      <c r="L3" s="555"/>
      <c r="M3" s="555"/>
      <c r="N3" s="555"/>
      <c r="O3" s="542" t="s">
        <v>189</v>
      </c>
      <c r="P3" s="555" t="s">
        <v>25</v>
      </c>
      <c r="Q3" s="555"/>
      <c r="R3" s="555"/>
    </row>
    <row r="4" spans="1:18" ht="11.25" customHeight="1">
      <c r="A4" s="552"/>
      <c r="B4" s="552"/>
      <c r="C4" s="552"/>
      <c r="D4" s="552"/>
      <c r="E4" s="552"/>
      <c r="F4" s="554"/>
      <c r="G4" s="554" t="s">
        <v>190</v>
      </c>
      <c r="H4" s="555" t="s">
        <v>191</v>
      </c>
      <c r="I4" s="555"/>
      <c r="J4" s="542" t="s">
        <v>192</v>
      </c>
      <c r="K4" s="542" t="s">
        <v>193</v>
      </c>
      <c r="L4" s="542" t="s">
        <v>200</v>
      </c>
      <c r="M4" s="542" t="s">
        <v>194</v>
      </c>
      <c r="N4" s="542" t="s">
        <v>195</v>
      </c>
      <c r="O4" s="542"/>
      <c r="P4" s="542" t="s">
        <v>196</v>
      </c>
      <c r="Q4" s="233" t="s">
        <v>25</v>
      </c>
      <c r="R4" s="542" t="s">
        <v>197</v>
      </c>
    </row>
    <row r="5" spans="1:18" ht="178.5">
      <c r="A5" s="552"/>
      <c r="B5" s="552"/>
      <c r="C5" s="552"/>
      <c r="D5" s="552"/>
      <c r="E5" s="552"/>
      <c r="F5" s="554"/>
      <c r="G5" s="554"/>
      <c r="H5" s="232" t="s">
        <v>198</v>
      </c>
      <c r="I5" s="232" t="s">
        <v>199</v>
      </c>
      <c r="J5" s="542"/>
      <c r="K5" s="542"/>
      <c r="L5" s="542"/>
      <c r="M5" s="542"/>
      <c r="N5" s="542"/>
      <c r="O5" s="542"/>
      <c r="P5" s="542"/>
      <c r="Q5" s="234" t="s">
        <v>200</v>
      </c>
      <c r="R5" s="542"/>
    </row>
    <row r="6" spans="1:18" ht="10.5" customHeight="1">
      <c r="A6" s="308">
        <v>1</v>
      </c>
      <c r="B6" s="308">
        <v>2</v>
      </c>
      <c r="C6" s="308">
        <v>3</v>
      </c>
      <c r="D6" s="308">
        <v>4</v>
      </c>
      <c r="E6" s="308">
        <v>5</v>
      </c>
      <c r="F6" s="308">
        <v>6</v>
      </c>
      <c r="G6" s="308">
        <v>7</v>
      </c>
      <c r="H6" s="308">
        <v>8</v>
      </c>
      <c r="I6" s="308">
        <v>9</v>
      </c>
      <c r="J6" s="308">
        <v>10</v>
      </c>
      <c r="K6" s="308">
        <v>11</v>
      </c>
      <c r="L6" s="308">
        <v>12</v>
      </c>
      <c r="M6" s="308">
        <v>13</v>
      </c>
      <c r="N6" s="308">
        <v>14</v>
      </c>
      <c r="O6" s="308">
        <v>15</v>
      </c>
      <c r="P6" s="308">
        <v>16</v>
      </c>
      <c r="Q6" s="308">
        <v>17</v>
      </c>
      <c r="R6" s="308">
        <v>18</v>
      </c>
    </row>
    <row r="7" spans="1:18" ht="16.5" customHeight="1">
      <c r="A7" s="310">
        <v>801</v>
      </c>
      <c r="B7" s="310"/>
      <c r="C7" s="310"/>
      <c r="D7" s="310" t="s">
        <v>115</v>
      </c>
      <c r="E7" s="311">
        <f aca="true" t="shared" si="0" ref="E7:R7">E29+E35+E49+E8</f>
        <v>3010855</v>
      </c>
      <c r="F7" s="311">
        <f t="shared" si="0"/>
        <v>3010855</v>
      </c>
      <c r="G7" s="311">
        <f t="shared" si="0"/>
        <v>2999963</v>
      </c>
      <c r="H7" s="311">
        <f t="shared" si="0"/>
        <v>2220382</v>
      </c>
      <c r="I7" s="311">
        <f t="shared" si="0"/>
        <v>779581</v>
      </c>
      <c r="J7" s="311">
        <f t="shared" si="0"/>
        <v>0</v>
      </c>
      <c r="K7" s="311">
        <f t="shared" si="0"/>
        <v>10892</v>
      </c>
      <c r="L7" s="311">
        <f t="shared" si="0"/>
        <v>0</v>
      </c>
      <c r="M7" s="311">
        <f t="shared" si="0"/>
        <v>0</v>
      </c>
      <c r="N7" s="311">
        <f t="shared" si="0"/>
        <v>0</v>
      </c>
      <c r="O7" s="311">
        <f t="shared" si="0"/>
        <v>0</v>
      </c>
      <c r="P7" s="311">
        <f t="shared" si="0"/>
        <v>0</v>
      </c>
      <c r="Q7" s="311">
        <f t="shared" si="0"/>
        <v>0</v>
      </c>
      <c r="R7" s="311">
        <f t="shared" si="0"/>
        <v>0</v>
      </c>
    </row>
    <row r="8" spans="1:18" ht="16.5" customHeight="1">
      <c r="A8" s="312"/>
      <c r="B8" s="312">
        <v>80110</v>
      </c>
      <c r="C8" s="312"/>
      <c r="D8" s="313" t="s">
        <v>125</v>
      </c>
      <c r="E8" s="314">
        <f aca="true" t="shared" si="1" ref="E8:R8">SUM(E9:E28)</f>
        <v>2718487</v>
      </c>
      <c r="F8" s="314">
        <f t="shared" si="1"/>
        <v>2718487</v>
      </c>
      <c r="G8" s="314">
        <f t="shared" si="1"/>
        <v>2707595</v>
      </c>
      <c r="H8" s="314">
        <f t="shared" si="1"/>
        <v>2132586</v>
      </c>
      <c r="I8" s="314">
        <f t="shared" si="1"/>
        <v>575009</v>
      </c>
      <c r="J8" s="314">
        <f t="shared" si="1"/>
        <v>0</v>
      </c>
      <c r="K8" s="314">
        <f t="shared" si="1"/>
        <v>10892</v>
      </c>
      <c r="L8" s="314">
        <f t="shared" si="1"/>
        <v>0</v>
      </c>
      <c r="M8" s="314">
        <f t="shared" si="1"/>
        <v>0</v>
      </c>
      <c r="N8" s="314">
        <f t="shared" si="1"/>
        <v>0</v>
      </c>
      <c r="O8" s="314">
        <f t="shared" si="1"/>
        <v>0</v>
      </c>
      <c r="P8" s="314">
        <f t="shared" si="1"/>
        <v>0</v>
      </c>
      <c r="Q8" s="314">
        <f t="shared" si="1"/>
        <v>0</v>
      </c>
      <c r="R8" s="314">
        <f t="shared" si="1"/>
        <v>0</v>
      </c>
    </row>
    <row r="9" spans="1:18" ht="17.25" customHeight="1">
      <c r="A9" s="312"/>
      <c r="B9" s="312"/>
      <c r="C9" s="319">
        <v>3020</v>
      </c>
      <c r="D9" s="320" t="s">
        <v>282</v>
      </c>
      <c r="E9" s="330">
        <f aca="true" t="shared" si="2" ref="E9:E28">F9+O9</f>
        <v>8392</v>
      </c>
      <c r="F9" s="330">
        <f aca="true" t="shared" si="3" ref="F9:F27">G9+J9+K9+L9+M9+N9</f>
        <v>8392</v>
      </c>
      <c r="G9" s="330"/>
      <c r="H9" s="350">
        <v>0</v>
      </c>
      <c r="I9" s="350">
        <v>0</v>
      </c>
      <c r="J9" s="350">
        <v>0</v>
      </c>
      <c r="K9" s="350">
        <v>8392</v>
      </c>
      <c r="L9" s="321"/>
      <c r="M9" s="321"/>
      <c r="N9" s="321"/>
      <c r="O9" s="321"/>
      <c r="P9" s="385"/>
      <c r="Q9" s="385"/>
      <c r="R9" s="321"/>
    </row>
    <row r="10" spans="1:18" ht="17.25" customHeight="1">
      <c r="A10" s="312"/>
      <c r="B10" s="319"/>
      <c r="C10" s="319">
        <v>3240</v>
      </c>
      <c r="D10" s="320" t="s">
        <v>294</v>
      </c>
      <c r="E10" s="330">
        <f t="shared" si="2"/>
        <v>2500</v>
      </c>
      <c r="F10" s="330">
        <f t="shared" si="3"/>
        <v>2500</v>
      </c>
      <c r="G10" s="330"/>
      <c r="H10" s="350">
        <v>0</v>
      </c>
      <c r="I10" s="350"/>
      <c r="J10" s="350"/>
      <c r="K10" s="350">
        <f>1500+1000</f>
        <v>2500</v>
      </c>
      <c r="L10" s="321"/>
      <c r="M10" s="321"/>
      <c r="N10" s="321"/>
      <c r="O10" s="321"/>
      <c r="P10" s="385"/>
      <c r="Q10" s="385"/>
      <c r="R10" s="321"/>
    </row>
    <row r="11" spans="1:18" ht="17.25" customHeight="1">
      <c r="A11" s="312"/>
      <c r="B11" s="319"/>
      <c r="C11" s="319">
        <v>4010</v>
      </c>
      <c r="D11" s="320" t="s">
        <v>265</v>
      </c>
      <c r="E11" s="330">
        <f t="shared" si="2"/>
        <v>1639350</v>
      </c>
      <c r="F11" s="330">
        <f t="shared" si="3"/>
        <v>1639350</v>
      </c>
      <c r="G11" s="330">
        <f aca="true" t="shared" si="4" ref="G11:G27">H11+I11</f>
        <v>1639350</v>
      </c>
      <c r="H11" s="350">
        <f>(188996+11671+29141)+1011892+(187093+160465+11400+400+1680+3548+28866+4198)</f>
        <v>1639350</v>
      </c>
      <c r="I11" s="350"/>
      <c r="J11" s="350"/>
      <c r="K11" s="350"/>
      <c r="L11" s="321"/>
      <c r="M11" s="321"/>
      <c r="N11" s="321"/>
      <c r="O11" s="321"/>
      <c r="P11" s="385"/>
      <c r="Q11" s="385"/>
      <c r="R11" s="321"/>
    </row>
    <row r="12" spans="1:18" ht="17.25" customHeight="1">
      <c r="A12" s="312"/>
      <c r="B12" s="319"/>
      <c r="C12" s="319">
        <v>4040</v>
      </c>
      <c r="D12" s="320" t="s">
        <v>283</v>
      </c>
      <c r="E12" s="330">
        <f t="shared" si="2"/>
        <v>138246</v>
      </c>
      <c r="F12" s="330">
        <f t="shared" si="3"/>
        <v>138246</v>
      </c>
      <c r="G12" s="330">
        <f t="shared" si="4"/>
        <v>138246</v>
      </c>
      <c r="H12" s="350">
        <v>138246</v>
      </c>
      <c r="I12" s="350"/>
      <c r="J12" s="350"/>
      <c r="K12" s="350"/>
      <c r="L12" s="321"/>
      <c r="M12" s="321"/>
      <c r="N12" s="321"/>
      <c r="O12" s="321"/>
      <c r="P12" s="385"/>
      <c r="Q12" s="385"/>
      <c r="R12" s="321"/>
    </row>
    <row r="13" spans="1:18" ht="17.25" customHeight="1">
      <c r="A13" s="312"/>
      <c r="B13" s="319"/>
      <c r="C13" s="319">
        <v>4110</v>
      </c>
      <c r="D13" s="320" t="s">
        <v>284</v>
      </c>
      <c r="E13" s="330">
        <f t="shared" si="2"/>
        <v>282638</v>
      </c>
      <c r="F13" s="330">
        <f t="shared" si="3"/>
        <v>282638</v>
      </c>
      <c r="G13" s="330">
        <f t="shared" si="4"/>
        <v>282638</v>
      </c>
      <c r="H13" s="330">
        <v>282638</v>
      </c>
      <c r="I13" s="350"/>
      <c r="J13" s="350"/>
      <c r="K13" s="350"/>
      <c r="L13" s="321"/>
      <c r="M13" s="321"/>
      <c r="N13" s="321"/>
      <c r="O13" s="321"/>
      <c r="P13" s="385"/>
      <c r="Q13" s="385"/>
      <c r="R13" s="321"/>
    </row>
    <row r="14" spans="1:18" ht="17.25" customHeight="1">
      <c r="A14" s="312"/>
      <c r="B14" s="319"/>
      <c r="C14" s="319">
        <v>4120</v>
      </c>
      <c r="D14" s="320" t="s">
        <v>285</v>
      </c>
      <c r="E14" s="330">
        <f t="shared" si="2"/>
        <v>43552</v>
      </c>
      <c r="F14" s="330">
        <f t="shared" si="3"/>
        <v>43552</v>
      </c>
      <c r="G14" s="330">
        <f t="shared" si="4"/>
        <v>43552</v>
      </c>
      <c r="H14" s="330">
        <v>43552</v>
      </c>
      <c r="I14" s="350"/>
      <c r="J14" s="350"/>
      <c r="K14" s="350"/>
      <c r="L14" s="321"/>
      <c r="M14" s="321"/>
      <c r="N14" s="321"/>
      <c r="O14" s="321"/>
      <c r="P14" s="385"/>
      <c r="Q14" s="385"/>
      <c r="R14" s="321"/>
    </row>
    <row r="15" spans="1:18" ht="17.25" customHeight="1">
      <c r="A15" s="312"/>
      <c r="B15" s="319"/>
      <c r="C15" s="319">
        <v>4170</v>
      </c>
      <c r="D15" s="320" t="s">
        <v>413</v>
      </c>
      <c r="E15" s="330">
        <f t="shared" si="2"/>
        <v>28800</v>
      </c>
      <c r="F15" s="330">
        <f t="shared" si="3"/>
        <v>28800</v>
      </c>
      <c r="G15" s="330">
        <f t="shared" si="4"/>
        <v>28800</v>
      </c>
      <c r="H15" s="350">
        <v>28800</v>
      </c>
      <c r="I15" s="350"/>
      <c r="J15" s="350"/>
      <c r="K15" s="350"/>
      <c r="L15" s="321"/>
      <c r="M15" s="321"/>
      <c r="N15" s="321"/>
      <c r="O15" s="321"/>
      <c r="P15" s="385"/>
      <c r="Q15" s="385"/>
      <c r="R15" s="321"/>
    </row>
    <row r="16" spans="1:18" ht="17.25" customHeight="1">
      <c r="A16" s="312"/>
      <c r="B16" s="319"/>
      <c r="C16" s="319">
        <v>4210</v>
      </c>
      <c r="D16" s="320" t="s">
        <v>276</v>
      </c>
      <c r="E16" s="330">
        <f t="shared" si="2"/>
        <v>32902</v>
      </c>
      <c r="F16" s="330">
        <f t="shared" si="3"/>
        <v>32902</v>
      </c>
      <c r="G16" s="330">
        <f t="shared" si="4"/>
        <v>32902</v>
      </c>
      <c r="H16" s="350"/>
      <c r="I16" s="350">
        <f>28000+800+4000+102</f>
        <v>32902</v>
      </c>
      <c r="J16" s="350"/>
      <c r="K16" s="350"/>
      <c r="L16" s="321"/>
      <c r="M16" s="321"/>
      <c r="N16" s="321"/>
      <c r="O16" s="321"/>
      <c r="P16" s="385"/>
      <c r="Q16" s="385"/>
      <c r="R16" s="321"/>
    </row>
    <row r="17" spans="1:18" ht="17.25" customHeight="1">
      <c r="A17" s="312"/>
      <c r="B17" s="319"/>
      <c r="C17" s="319">
        <v>4240</v>
      </c>
      <c r="D17" s="320" t="s">
        <v>277</v>
      </c>
      <c r="E17" s="330">
        <f t="shared" si="2"/>
        <v>11300</v>
      </c>
      <c r="F17" s="330">
        <f t="shared" si="3"/>
        <v>11300</v>
      </c>
      <c r="G17" s="330">
        <f t="shared" si="4"/>
        <v>11300</v>
      </c>
      <c r="H17" s="350"/>
      <c r="I17" s="350">
        <f>10000+100+1000+200</f>
        <v>11300</v>
      </c>
      <c r="J17" s="350"/>
      <c r="K17" s="350"/>
      <c r="L17" s="321"/>
      <c r="M17" s="321"/>
      <c r="N17" s="321"/>
      <c r="O17" s="321"/>
      <c r="P17" s="385"/>
      <c r="Q17" s="385"/>
      <c r="R17" s="321"/>
    </row>
    <row r="18" spans="1:18" ht="17.25" customHeight="1">
      <c r="A18" s="312"/>
      <c r="B18" s="319"/>
      <c r="C18" s="319">
        <v>4260</v>
      </c>
      <c r="D18" s="320" t="s">
        <v>286</v>
      </c>
      <c r="E18" s="330">
        <f t="shared" si="2"/>
        <v>280000</v>
      </c>
      <c r="F18" s="330">
        <f t="shared" si="3"/>
        <v>280000</v>
      </c>
      <c r="G18" s="330">
        <f t="shared" si="4"/>
        <v>280000</v>
      </c>
      <c r="H18" s="350"/>
      <c r="I18" s="350">
        <v>280000</v>
      </c>
      <c r="J18" s="350"/>
      <c r="K18" s="350"/>
      <c r="L18" s="321"/>
      <c r="M18" s="321"/>
      <c r="N18" s="321"/>
      <c r="O18" s="321"/>
      <c r="P18" s="385"/>
      <c r="Q18" s="385"/>
      <c r="R18" s="321"/>
    </row>
    <row r="19" spans="1:18" ht="17.25" customHeight="1">
      <c r="A19" s="312"/>
      <c r="B19" s="319"/>
      <c r="C19" s="319">
        <v>4270</v>
      </c>
      <c r="D19" s="320" t="s">
        <v>231</v>
      </c>
      <c r="E19" s="330">
        <f t="shared" si="2"/>
        <v>10000</v>
      </c>
      <c r="F19" s="330">
        <f t="shared" si="3"/>
        <v>10000</v>
      </c>
      <c r="G19" s="330">
        <f t="shared" si="4"/>
        <v>10000</v>
      </c>
      <c r="H19" s="350"/>
      <c r="I19" s="350">
        <v>10000</v>
      </c>
      <c r="J19" s="350"/>
      <c r="K19" s="350"/>
      <c r="L19" s="321"/>
      <c r="M19" s="321"/>
      <c r="N19" s="321"/>
      <c r="O19" s="321"/>
      <c r="P19" s="385"/>
      <c r="Q19" s="385"/>
      <c r="R19" s="321"/>
    </row>
    <row r="20" spans="1:18" ht="17.25" customHeight="1">
      <c r="A20" s="312"/>
      <c r="B20" s="319"/>
      <c r="C20" s="319">
        <v>4280</v>
      </c>
      <c r="D20" s="320" t="s">
        <v>278</v>
      </c>
      <c r="E20" s="330">
        <f t="shared" si="2"/>
        <v>100</v>
      </c>
      <c r="F20" s="330">
        <f t="shared" si="3"/>
        <v>100</v>
      </c>
      <c r="G20" s="330">
        <f t="shared" si="4"/>
        <v>100</v>
      </c>
      <c r="H20" s="350"/>
      <c r="I20" s="350">
        <v>100</v>
      </c>
      <c r="J20" s="350"/>
      <c r="K20" s="350"/>
      <c r="L20" s="321"/>
      <c r="M20" s="321"/>
      <c r="N20" s="321"/>
      <c r="O20" s="321"/>
      <c r="P20" s="385"/>
      <c r="Q20" s="385"/>
      <c r="R20" s="321"/>
    </row>
    <row r="21" spans="1:18" ht="17.25" customHeight="1">
      <c r="A21" s="312"/>
      <c r="B21" s="319"/>
      <c r="C21" s="319">
        <v>4300</v>
      </c>
      <c r="D21" s="320" t="s">
        <v>287</v>
      </c>
      <c r="E21" s="330">
        <f t="shared" si="2"/>
        <v>130341</v>
      </c>
      <c r="F21" s="330">
        <f t="shared" si="3"/>
        <v>130341</v>
      </c>
      <c r="G21" s="330">
        <f t="shared" si="4"/>
        <v>130341</v>
      </c>
      <c r="H21" s="350"/>
      <c r="I21" s="350">
        <f>128540+101+1500+200</f>
        <v>130341</v>
      </c>
      <c r="J21" s="350"/>
      <c r="K21" s="350"/>
      <c r="L21" s="321"/>
      <c r="M21" s="321"/>
      <c r="N21" s="321"/>
      <c r="O21" s="321"/>
      <c r="P21" s="385"/>
      <c r="Q21" s="385"/>
      <c r="R21" s="321"/>
    </row>
    <row r="22" spans="1:18" ht="17.25" customHeight="1">
      <c r="A22" s="312"/>
      <c r="B22" s="319"/>
      <c r="C22" s="319">
        <v>4350</v>
      </c>
      <c r="D22" s="320" t="s">
        <v>288</v>
      </c>
      <c r="E22" s="330">
        <f t="shared" si="2"/>
        <v>500</v>
      </c>
      <c r="F22" s="330">
        <f t="shared" si="3"/>
        <v>500</v>
      </c>
      <c r="G22" s="330">
        <f t="shared" si="4"/>
        <v>500</v>
      </c>
      <c r="H22" s="350"/>
      <c r="I22" s="350">
        <v>500</v>
      </c>
      <c r="J22" s="350"/>
      <c r="K22" s="350"/>
      <c r="L22" s="321"/>
      <c r="M22" s="321"/>
      <c r="N22" s="321"/>
      <c r="O22" s="321"/>
      <c r="P22" s="385"/>
      <c r="Q22" s="385"/>
      <c r="R22" s="321"/>
    </row>
    <row r="23" spans="1:18" ht="17.25" customHeight="1">
      <c r="A23" s="312"/>
      <c r="B23" s="319"/>
      <c r="C23" s="319">
        <v>4370</v>
      </c>
      <c r="D23" s="320" t="s">
        <v>289</v>
      </c>
      <c r="E23" s="330">
        <f t="shared" si="2"/>
        <v>3000</v>
      </c>
      <c r="F23" s="330">
        <f t="shared" si="3"/>
        <v>3000</v>
      </c>
      <c r="G23" s="330">
        <f t="shared" si="4"/>
        <v>3000</v>
      </c>
      <c r="H23" s="350"/>
      <c r="I23" s="350">
        <v>3000</v>
      </c>
      <c r="J23" s="350"/>
      <c r="K23" s="350"/>
      <c r="L23" s="321"/>
      <c r="M23" s="321"/>
      <c r="N23" s="321"/>
      <c r="O23" s="321"/>
      <c r="P23" s="385"/>
      <c r="Q23" s="385"/>
      <c r="R23" s="321"/>
    </row>
    <row r="24" spans="1:18" ht="17.25" customHeight="1">
      <c r="A24" s="312"/>
      <c r="B24" s="319"/>
      <c r="C24" s="319">
        <v>4410</v>
      </c>
      <c r="D24" s="320" t="s">
        <v>290</v>
      </c>
      <c r="E24" s="330">
        <f t="shared" si="2"/>
        <v>1000</v>
      </c>
      <c r="F24" s="330">
        <f t="shared" si="3"/>
        <v>1000</v>
      </c>
      <c r="G24" s="330">
        <f t="shared" si="4"/>
        <v>1000</v>
      </c>
      <c r="H24" s="350"/>
      <c r="I24" s="350">
        <v>1000</v>
      </c>
      <c r="J24" s="350"/>
      <c r="K24" s="350"/>
      <c r="L24" s="321"/>
      <c r="M24" s="321"/>
      <c r="N24" s="321"/>
      <c r="O24" s="321"/>
      <c r="P24" s="385"/>
      <c r="Q24" s="385"/>
      <c r="R24" s="321"/>
    </row>
    <row r="25" spans="1:18" ht="17.25" customHeight="1">
      <c r="A25" s="312"/>
      <c r="B25" s="319"/>
      <c r="C25" s="319">
        <v>4430</v>
      </c>
      <c r="D25" s="320" t="s">
        <v>291</v>
      </c>
      <c r="E25" s="330">
        <f t="shared" si="2"/>
        <v>5000</v>
      </c>
      <c r="F25" s="330">
        <f t="shared" si="3"/>
        <v>5000</v>
      </c>
      <c r="G25" s="330">
        <f t="shared" si="4"/>
        <v>5000</v>
      </c>
      <c r="H25" s="330"/>
      <c r="I25" s="350">
        <v>5000</v>
      </c>
      <c r="J25" s="330"/>
      <c r="K25" s="330"/>
      <c r="L25" s="321"/>
      <c r="M25" s="321"/>
      <c r="N25" s="321"/>
      <c r="O25" s="321"/>
      <c r="P25" s="385"/>
      <c r="Q25" s="385"/>
      <c r="R25" s="321"/>
    </row>
    <row r="26" spans="1:18" ht="17.25" customHeight="1">
      <c r="A26" s="312"/>
      <c r="B26" s="319"/>
      <c r="C26" s="319">
        <v>4440</v>
      </c>
      <c r="D26" s="320" t="s">
        <v>240</v>
      </c>
      <c r="E26" s="330">
        <f t="shared" si="2"/>
        <v>99366</v>
      </c>
      <c r="F26" s="330">
        <f t="shared" si="3"/>
        <v>99366</v>
      </c>
      <c r="G26" s="330">
        <f t="shared" si="4"/>
        <v>99366</v>
      </c>
      <c r="H26" s="350"/>
      <c r="I26" s="350">
        <v>99366</v>
      </c>
      <c r="J26" s="350"/>
      <c r="K26" s="350"/>
      <c r="L26" s="321"/>
      <c r="M26" s="321"/>
      <c r="N26" s="321"/>
      <c r="O26" s="321"/>
      <c r="P26" s="385"/>
      <c r="Q26" s="385"/>
      <c r="R26" s="321"/>
    </row>
    <row r="27" spans="1:18" ht="27" customHeight="1">
      <c r="A27" s="312"/>
      <c r="B27" s="319"/>
      <c r="C27" s="319">
        <v>4700</v>
      </c>
      <c r="D27" s="317" t="s">
        <v>292</v>
      </c>
      <c r="E27" s="330">
        <f t="shared" si="2"/>
        <v>1500</v>
      </c>
      <c r="F27" s="330">
        <f t="shared" si="3"/>
        <v>1500</v>
      </c>
      <c r="G27" s="330">
        <f t="shared" si="4"/>
        <v>1500</v>
      </c>
      <c r="H27" s="330"/>
      <c r="I27" s="350">
        <v>1500</v>
      </c>
      <c r="J27" s="330"/>
      <c r="K27" s="330"/>
      <c r="L27" s="321"/>
      <c r="M27" s="321"/>
      <c r="N27" s="321"/>
      <c r="O27" s="321"/>
      <c r="P27" s="385"/>
      <c r="Q27" s="385"/>
      <c r="R27" s="321"/>
    </row>
    <row r="28" spans="1:18" ht="17.25" customHeight="1">
      <c r="A28" s="312"/>
      <c r="B28" s="319"/>
      <c r="C28" s="319">
        <v>6050</v>
      </c>
      <c r="D28" s="320" t="s">
        <v>375</v>
      </c>
      <c r="E28" s="330">
        <f t="shared" si="2"/>
        <v>0</v>
      </c>
      <c r="F28" s="330"/>
      <c r="G28" s="330"/>
      <c r="H28" s="350"/>
      <c r="I28" s="350"/>
      <c r="J28" s="350"/>
      <c r="K28" s="350"/>
      <c r="L28" s="321"/>
      <c r="M28" s="321"/>
      <c r="N28" s="321"/>
      <c r="O28" s="321"/>
      <c r="P28" s="385"/>
      <c r="Q28" s="385"/>
      <c r="R28" s="321"/>
    </row>
    <row r="29" spans="1:18" ht="16.5" customHeight="1">
      <c r="A29" s="313"/>
      <c r="B29" s="312">
        <v>80146</v>
      </c>
      <c r="C29" s="319"/>
      <c r="D29" s="313" t="s">
        <v>299</v>
      </c>
      <c r="E29" s="314">
        <f aca="true" t="shared" si="5" ref="E29:R29">SUM(E30:E34)</f>
        <v>5520</v>
      </c>
      <c r="F29" s="314">
        <f t="shared" si="5"/>
        <v>5520</v>
      </c>
      <c r="G29" s="314">
        <f t="shared" si="5"/>
        <v>5520</v>
      </c>
      <c r="H29" s="314">
        <f t="shared" si="5"/>
        <v>0</v>
      </c>
      <c r="I29" s="314">
        <f t="shared" si="5"/>
        <v>5520</v>
      </c>
      <c r="J29" s="314">
        <f t="shared" si="5"/>
        <v>0</v>
      </c>
      <c r="K29" s="314">
        <f t="shared" si="5"/>
        <v>0</v>
      </c>
      <c r="L29" s="314">
        <f t="shared" si="5"/>
        <v>0</v>
      </c>
      <c r="M29" s="314">
        <f t="shared" si="5"/>
        <v>0</v>
      </c>
      <c r="N29" s="314">
        <f t="shared" si="5"/>
        <v>0</v>
      </c>
      <c r="O29" s="314">
        <f t="shared" si="5"/>
        <v>0</v>
      </c>
      <c r="P29" s="314">
        <f t="shared" si="5"/>
        <v>0</v>
      </c>
      <c r="Q29" s="314">
        <f t="shared" si="5"/>
        <v>0</v>
      </c>
      <c r="R29" s="314">
        <f t="shared" si="5"/>
        <v>0</v>
      </c>
    </row>
    <row r="30" spans="1:18" ht="17.25" customHeight="1">
      <c r="A30" s="312"/>
      <c r="B30" s="312"/>
      <c r="C30" s="319">
        <v>4210</v>
      </c>
      <c r="D30" s="320" t="s">
        <v>276</v>
      </c>
      <c r="E30" s="330">
        <f>F30+O30</f>
        <v>0</v>
      </c>
      <c r="F30" s="330">
        <f>G30+J30+K30+L30+M30+N30</f>
        <v>0</v>
      </c>
      <c r="G30" s="330">
        <f>H30+I30</f>
        <v>0</v>
      </c>
      <c r="H30" s="386"/>
      <c r="I30" s="387">
        <v>0</v>
      </c>
      <c r="J30" s="321"/>
      <c r="K30" s="321"/>
      <c r="L30" s="321"/>
      <c r="M30" s="321"/>
      <c r="N30" s="321"/>
      <c r="O30" s="321"/>
      <c r="P30" s="385"/>
      <c r="Q30" s="385"/>
      <c r="R30" s="321"/>
    </row>
    <row r="31" spans="1:18" ht="17.25" customHeight="1">
      <c r="A31" s="312"/>
      <c r="B31" s="312"/>
      <c r="C31" s="319">
        <v>4240</v>
      </c>
      <c r="D31" s="320" t="s">
        <v>277</v>
      </c>
      <c r="E31" s="330">
        <f>F31+O31</f>
        <v>0</v>
      </c>
      <c r="F31" s="330">
        <f>G31+J31+K31+L31+M31+N31</f>
        <v>0</v>
      </c>
      <c r="G31" s="330">
        <f>H31+I31</f>
        <v>0</v>
      </c>
      <c r="H31" s="350"/>
      <c r="I31" s="350">
        <v>0</v>
      </c>
      <c r="J31" s="321"/>
      <c r="K31" s="321"/>
      <c r="L31" s="321"/>
      <c r="M31" s="321"/>
      <c r="N31" s="321"/>
      <c r="O31" s="321"/>
      <c r="P31" s="385"/>
      <c r="Q31" s="385"/>
      <c r="R31" s="321"/>
    </row>
    <row r="32" spans="1:18" ht="17.25" customHeight="1">
      <c r="A32" s="319"/>
      <c r="B32" s="319"/>
      <c r="C32" s="319">
        <v>4300</v>
      </c>
      <c r="D32" s="320" t="s">
        <v>287</v>
      </c>
      <c r="E32" s="330">
        <f>F32+O32</f>
        <v>1620</v>
      </c>
      <c r="F32" s="330">
        <f>G32+J32+K32+L32+M32+N32</f>
        <v>1620</v>
      </c>
      <c r="G32" s="330">
        <f>H32+I32</f>
        <v>1620</v>
      </c>
      <c r="H32" s="386"/>
      <c r="I32" s="350">
        <v>1620</v>
      </c>
      <c r="J32" s="321"/>
      <c r="K32" s="321"/>
      <c r="L32" s="321"/>
      <c r="M32" s="321"/>
      <c r="N32" s="321"/>
      <c r="O32" s="321"/>
      <c r="P32" s="385"/>
      <c r="Q32" s="385"/>
      <c r="R32" s="321"/>
    </row>
    <row r="33" spans="1:18" ht="17.25" customHeight="1">
      <c r="A33" s="319"/>
      <c r="B33" s="319"/>
      <c r="C33" s="319">
        <v>4410</v>
      </c>
      <c r="D33" s="320" t="s">
        <v>290</v>
      </c>
      <c r="E33" s="330">
        <f>F33+O33</f>
        <v>1900</v>
      </c>
      <c r="F33" s="330">
        <f>G33+J33+K33+L33+M33+N33</f>
        <v>1900</v>
      </c>
      <c r="G33" s="330">
        <f>H33+I33</f>
        <v>1900</v>
      </c>
      <c r="H33" s="386"/>
      <c r="I33" s="350">
        <v>1900</v>
      </c>
      <c r="J33" s="321"/>
      <c r="K33" s="321"/>
      <c r="L33" s="321"/>
      <c r="M33" s="321"/>
      <c r="N33" s="321"/>
      <c r="O33" s="321"/>
      <c r="P33" s="385"/>
      <c r="Q33" s="385"/>
      <c r="R33" s="321"/>
    </row>
    <row r="34" spans="1:18" ht="27" customHeight="1">
      <c r="A34" s="319"/>
      <c r="B34" s="319"/>
      <c r="C34" s="319">
        <v>4700</v>
      </c>
      <c r="D34" s="317" t="s">
        <v>292</v>
      </c>
      <c r="E34" s="330">
        <f>F34+O34</f>
        <v>2000</v>
      </c>
      <c r="F34" s="330">
        <f>G34+J34+K34+L34+M34+N34</f>
        <v>2000</v>
      </c>
      <c r="G34" s="330">
        <f>H34+I34</f>
        <v>2000</v>
      </c>
      <c r="H34" s="386"/>
      <c r="I34" s="350">
        <v>2000</v>
      </c>
      <c r="J34" s="321"/>
      <c r="K34" s="321"/>
      <c r="L34" s="321"/>
      <c r="M34" s="321"/>
      <c r="N34" s="321"/>
      <c r="O34" s="321"/>
      <c r="P34" s="385"/>
      <c r="Q34" s="385"/>
      <c r="R34" s="321"/>
    </row>
    <row r="35" spans="1:18" ht="16.5" customHeight="1">
      <c r="A35" s="313"/>
      <c r="B35" s="322">
        <v>80148</v>
      </c>
      <c r="C35" s="323"/>
      <c r="D35" s="324" t="s">
        <v>410</v>
      </c>
      <c r="E35" s="325">
        <f aca="true" t="shared" si="6" ref="E35:R35">SUM(E36:E48)</f>
        <v>245031</v>
      </c>
      <c r="F35" s="325">
        <f t="shared" si="6"/>
        <v>245031</v>
      </c>
      <c r="G35" s="325">
        <f t="shared" si="6"/>
        <v>245031</v>
      </c>
      <c r="H35" s="325">
        <f t="shared" si="6"/>
        <v>87796</v>
      </c>
      <c r="I35" s="325">
        <f t="shared" si="6"/>
        <v>157235</v>
      </c>
      <c r="J35" s="325">
        <f t="shared" si="6"/>
        <v>0</v>
      </c>
      <c r="K35" s="325">
        <f t="shared" si="6"/>
        <v>0</v>
      </c>
      <c r="L35" s="325">
        <f t="shared" si="6"/>
        <v>0</v>
      </c>
      <c r="M35" s="325">
        <f t="shared" si="6"/>
        <v>0</v>
      </c>
      <c r="N35" s="325">
        <f t="shared" si="6"/>
        <v>0</v>
      </c>
      <c r="O35" s="325">
        <f t="shared" si="6"/>
        <v>0</v>
      </c>
      <c r="P35" s="325">
        <f t="shared" si="6"/>
        <v>0</v>
      </c>
      <c r="Q35" s="325">
        <f t="shared" si="6"/>
        <v>0</v>
      </c>
      <c r="R35" s="325">
        <f t="shared" si="6"/>
        <v>0</v>
      </c>
    </row>
    <row r="36" spans="1:18" ht="17.25" customHeight="1">
      <c r="A36" s="322"/>
      <c r="B36" s="322"/>
      <c r="C36" s="323">
        <v>3020</v>
      </c>
      <c r="D36" s="334" t="s">
        <v>282</v>
      </c>
      <c r="E36" s="330">
        <f aca="true" t="shared" si="7" ref="E36:E48">F36+O36</f>
        <v>0</v>
      </c>
      <c r="F36" s="330">
        <f aca="true" t="shared" si="8" ref="F36:F48">G36+J36+K36+L36+M36+N36</f>
        <v>0</v>
      </c>
      <c r="G36" s="330">
        <f aca="true" t="shared" si="9" ref="G36:G48">H36+I36</f>
        <v>0</v>
      </c>
      <c r="H36" s="350">
        <v>0</v>
      </c>
      <c r="I36" s="350">
        <v>0</v>
      </c>
      <c r="J36" s="350">
        <v>0</v>
      </c>
      <c r="K36" s="350">
        <v>0</v>
      </c>
      <c r="L36" s="335"/>
      <c r="M36" s="335"/>
      <c r="N36" s="335"/>
      <c r="O36" s="388"/>
      <c r="P36" s="388"/>
      <c r="Q36" s="388"/>
      <c r="R36" s="335"/>
    </row>
    <row r="37" spans="1:18" ht="17.25" customHeight="1">
      <c r="A37" s="323"/>
      <c r="B37" s="323"/>
      <c r="C37" s="323">
        <v>4010</v>
      </c>
      <c r="D37" s="334" t="s">
        <v>265</v>
      </c>
      <c r="E37" s="330">
        <f t="shared" si="7"/>
        <v>66903</v>
      </c>
      <c r="F37" s="330">
        <f t="shared" si="8"/>
        <v>66903</v>
      </c>
      <c r="G37" s="330">
        <f t="shared" si="9"/>
        <v>66903</v>
      </c>
      <c r="H37" s="350">
        <f>53448+10689+2766</f>
        <v>66903</v>
      </c>
      <c r="I37" s="350"/>
      <c r="J37" s="350"/>
      <c r="K37" s="350"/>
      <c r="L37" s="335"/>
      <c r="M37" s="335"/>
      <c r="N37" s="335"/>
      <c r="O37" s="388"/>
      <c r="P37" s="388"/>
      <c r="Q37" s="388"/>
      <c r="R37" s="335"/>
    </row>
    <row r="38" spans="1:18" ht="17.25" customHeight="1">
      <c r="A38" s="323"/>
      <c r="B38" s="323"/>
      <c r="C38" s="323">
        <v>4040</v>
      </c>
      <c r="D38" s="334" t="s">
        <v>283</v>
      </c>
      <c r="E38" s="330">
        <f t="shared" si="7"/>
        <v>6008</v>
      </c>
      <c r="F38" s="330">
        <f t="shared" si="8"/>
        <v>6008</v>
      </c>
      <c r="G38" s="330">
        <f t="shared" si="9"/>
        <v>6008</v>
      </c>
      <c r="H38" s="350">
        <v>6008</v>
      </c>
      <c r="I38" s="350"/>
      <c r="J38" s="350"/>
      <c r="K38" s="350"/>
      <c r="L38" s="335"/>
      <c r="M38" s="335"/>
      <c r="N38" s="335"/>
      <c r="O38" s="388"/>
      <c r="P38" s="388"/>
      <c r="Q38" s="388"/>
      <c r="R38" s="335"/>
    </row>
    <row r="39" spans="1:18" ht="17.25" customHeight="1">
      <c r="A39" s="323"/>
      <c r="B39" s="323"/>
      <c r="C39" s="323">
        <v>4110</v>
      </c>
      <c r="D39" s="334" t="s">
        <v>284</v>
      </c>
      <c r="E39" s="330">
        <f t="shared" si="7"/>
        <v>12817</v>
      </c>
      <c r="F39" s="330">
        <f t="shared" si="8"/>
        <v>12817</v>
      </c>
      <c r="G39" s="330">
        <f t="shared" si="9"/>
        <v>12817</v>
      </c>
      <c r="H39" s="350">
        <v>12817</v>
      </c>
      <c r="I39" s="350"/>
      <c r="J39" s="350"/>
      <c r="K39" s="350"/>
      <c r="L39" s="335"/>
      <c r="M39" s="335"/>
      <c r="N39" s="335"/>
      <c r="O39" s="388"/>
      <c r="P39" s="388"/>
      <c r="Q39" s="388"/>
      <c r="R39" s="335"/>
    </row>
    <row r="40" spans="1:18" ht="17.25" customHeight="1">
      <c r="A40" s="323"/>
      <c r="B40" s="323"/>
      <c r="C40" s="323">
        <v>4120</v>
      </c>
      <c r="D40" s="334" t="s">
        <v>285</v>
      </c>
      <c r="E40" s="330">
        <f t="shared" si="7"/>
        <v>2068</v>
      </c>
      <c r="F40" s="330">
        <f t="shared" si="8"/>
        <v>2068</v>
      </c>
      <c r="G40" s="330">
        <f t="shared" si="9"/>
        <v>2068</v>
      </c>
      <c r="H40" s="350">
        <v>2068</v>
      </c>
      <c r="I40" s="350"/>
      <c r="J40" s="350"/>
      <c r="K40" s="350"/>
      <c r="L40" s="335"/>
      <c r="M40" s="335"/>
      <c r="N40" s="335"/>
      <c r="O40" s="388"/>
      <c r="P40" s="388"/>
      <c r="Q40" s="388"/>
      <c r="R40" s="335"/>
    </row>
    <row r="41" spans="1:18" ht="17.25" customHeight="1">
      <c r="A41" s="323"/>
      <c r="B41" s="323"/>
      <c r="C41" s="323">
        <v>4210</v>
      </c>
      <c r="D41" s="334" t="s">
        <v>276</v>
      </c>
      <c r="E41" s="330">
        <f t="shared" si="7"/>
        <v>11830</v>
      </c>
      <c r="F41" s="330">
        <f t="shared" si="8"/>
        <v>11830</v>
      </c>
      <c r="G41" s="330">
        <f t="shared" si="9"/>
        <v>11830</v>
      </c>
      <c r="H41" s="350"/>
      <c r="I41" s="350">
        <v>11830</v>
      </c>
      <c r="J41" s="350"/>
      <c r="K41" s="350"/>
      <c r="L41" s="335"/>
      <c r="M41" s="335"/>
      <c r="N41" s="335"/>
      <c r="O41" s="388"/>
      <c r="P41" s="388"/>
      <c r="Q41" s="388"/>
      <c r="R41" s="335"/>
    </row>
    <row r="42" spans="1:18" ht="17.25" customHeight="1">
      <c r="A42" s="323"/>
      <c r="B42" s="323"/>
      <c r="C42" s="323">
        <v>4220</v>
      </c>
      <c r="D42" s="334" t="s">
        <v>411</v>
      </c>
      <c r="E42" s="330">
        <f t="shared" si="7"/>
        <v>137280</v>
      </c>
      <c r="F42" s="330">
        <f t="shared" si="8"/>
        <v>137280</v>
      </c>
      <c r="G42" s="330">
        <f t="shared" si="9"/>
        <v>137280</v>
      </c>
      <c r="H42" s="350"/>
      <c r="I42" s="350">
        <v>137280</v>
      </c>
      <c r="J42" s="350"/>
      <c r="K42" s="350"/>
      <c r="L42" s="335"/>
      <c r="M42" s="335"/>
      <c r="N42" s="335"/>
      <c r="O42" s="388"/>
      <c r="P42" s="388"/>
      <c r="Q42" s="388"/>
      <c r="R42" s="335"/>
    </row>
    <row r="43" spans="1:18" ht="17.25" customHeight="1">
      <c r="A43" s="323"/>
      <c r="B43" s="323"/>
      <c r="C43" s="323">
        <v>4270</v>
      </c>
      <c r="D43" s="334" t="s">
        <v>231</v>
      </c>
      <c r="E43" s="330">
        <f t="shared" si="7"/>
        <v>4500</v>
      </c>
      <c r="F43" s="330">
        <f t="shared" si="8"/>
        <v>4500</v>
      </c>
      <c r="G43" s="330">
        <f t="shared" si="9"/>
        <v>4500</v>
      </c>
      <c r="H43" s="350"/>
      <c r="I43" s="350">
        <v>4500</v>
      </c>
      <c r="J43" s="350"/>
      <c r="K43" s="350"/>
      <c r="L43" s="335"/>
      <c r="M43" s="335"/>
      <c r="N43" s="335"/>
      <c r="O43" s="388"/>
      <c r="P43" s="388"/>
      <c r="Q43" s="388"/>
      <c r="R43" s="335"/>
    </row>
    <row r="44" spans="1:18" ht="17.25" customHeight="1">
      <c r="A44" s="323"/>
      <c r="B44" s="323"/>
      <c r="C44" s="323">
        <v>4280</v>
      </c>
      <c r="D44" s="334" t="s">
        <v>278</v>
      </c>
      <c r="E44" s="330">
        <f t="shared" si="7"/>
        <v>150</v>
      </c>
      <c r="F44" s="330">
        <f t="shared" si="8"/>
        <v>150</v>
      </c>
      <c r="G44" s="330">
        <f t="shared" si="9"/>
        <v>150</v>
      </c>
      <c r="H44" s="350"/>
      <c r="I44" s="350">
        <v>150</v>
      </c>
      <c r="J44" s="350"/>
      <c r="K44" s="350"/>
      <c r="L44" s="335"/>
      <c r="M44" s="335"/>
      <c r="N44" s="335"/>
      <c r="O44" s="388"/>
      <c r="P44" s="388"/>
      <c r="Q44" s="388"/>
      <c r="R44" s="335"/>
    </row>
    <row r="45" spans="1:18" ht="17.25" customHeight="1">
      <c r="A45" s="323"/>
      <c r="B45" s="323"/>
      <c r="C45" s="323">
        <v>4300</v>
      </c>
      <c r="D45" s="334" t="s">
        <v>287</v>
      </c>
      <c r="E45" s="330">
        <f t="shared" si="7"/>
        <v>0</v>
      </c>
      <c r="F45" s="330">
        <f t="shared" si="8"/>
        <v>0</v>
      </c>
      <c r="G45" s="330">
        <f t="shared" si="9"/>
        <v>0</v>
      </c>
      <c r="H45" s="350"/>
      <c r="I45" s="350"/>
      <c r="J45" s="350"/>
      <c r="K45" s="350"/>
      <c r="L45" s="335"/>
      <c r="M45" s="335"/>
      <c r="N45" s="335"/>
      <c r="O45" s="388"/>
      <c r="P45" s="388"/>
      <c r="Q45" s="388"/>
      <c r="R45" s="335"/>
    </row>
    <row r="46" spans="1:18" ht="17.25" customHeight="1">
      <c r="A46" s="323"/>
      <c r="B46" s="323"/>
      <c r="C46" s="323">
        <v>4410</v>
      </c>
      <c r="D46" s="334" t="s">
        <v>290</v>
      </c>
      <c r="E46" s="330">
        <f t="shared" si="7"/>
        <v>300</v>
      </c>
      <c r="F46" s="330">
        <f t="shared" si="8"/>
        <v>300</v>
      </c>
      <c r="G46" s="330">
        <f t="shared" si="9"/>
        <v>300</v>
      </c>
      <c r="H46" s="350"/>
      <c r="I46" s="350">
        <v>300</v>
      </c>
      <c r="J46" s="350"/>
      <c r="K46" s="350"/>
      <c r="L46" s="335"/>
      <c r="M46" s="335"/>
      <c r="N46" s="335"/>
      <c r="O46" s="388"/>
      <c r="P46" s="388"/>
      <c r="Q46" s="388"/>
      <c r="R46" s="335"/>
    </row>
    <row r="47" spans="1:18" ht="17.25" customHeight="1">
      <c r="A47" s="323"/>
      <c r="B47" s="323"/>
      <c r="C47" s="323">
        <v>4440</v>
      </c>
      <c r="D47" s="334" t="s">
        <v>240</v>
      </c>
      <c r="E47" s="330">
        <f t="shared" si="7"/>
        <v>3175</v>
      </c>
      <c r="F47" s="330">
        <f t="shared" si="8"/>
        <v>3175</v>
      </c>
      <c r="G47" s="330">
        <f t="shared" si="9"/>
        <v>3175</v>
      </c>
      <c r="H47" s="350"/>
      <c r="I47" s="350">
        <v>3175</v>
      </c>
      <c r="J47" s="350"/>
      <c r="K47" s="350"/>
      <c r="L47" s="335"/>
      <c r="M47" s="335"/>
      <c r="N47" s="335"/>
      <c r="O47" s="388"/>
      <c r="P47" s="388"/>
      <c r="Q47" s="388"/>
      <c r="R47" s="335"/>
    </row>
    <row r="48" spans="1:18" ht="27" customHeight="1">
      <c r="A48" s="323"/>
      <c r="B48" s="323"/>
      <c r="C48" s="323">
        <v>4700</v>
      </c>
      <c r="D48" s="317" t="s">
        <v>292</v>
      </c>
      <c r="E48" s="330">
        <f t="shared" si="7"/>
        <v>0</v>
      </c>
      <c r="F48" s="330">
        <f t="shared" si="8"/>
        <v>0</v>
      </c>
      <c r="G48" s="330">
        <f t="shared" si="9"/>
        <v>0</v>
      </c>
      <c r="H48" s="389"/>
      <c r="I48" s="389"/>
      <c r="J48" s="389"/>
      <c r="K48" s="389"/>
      <c r="L48" s="335"/>
      <c r="M48" s="335"/>
      <c r="N48" s="335"/>
      <c r="O48" s="388"/>
      <c r="P48" s="388"/>
      <c r="Q48" s="388"/>
      <c r="R48" s="335"/>
    </row>
    <row r="49" spans="1:18" ht="16.5" customHeight="1">
      <c r="A49" s="312"/>
      <c r="B49" s="312">
        <v>80195</v>
      </c>
      <c r="C49" s="319"/>
      <c r="D49" s="313" t="s">
        <v>30</v>
      </c>
      <c r="E49" s="314">
        <f aca="true" t="shared" si="10" ref="E49:R49">SUM(E50:E50)</f>
        <v>41817</v>
      </c>
      <c r="F49" s="314">
        <f t="shared" si="10"/>
        <v>41817</v>
      </c>
      <c r="G49" s="314">
        <f t="shared" si="10"/>
        <v>41817</v>
      </c>
      <c r="H49" s="314">
        <f t="shared" si="10"/>
        <v>0</v>
      </c>
      <c r="I49" s="314">
        <f t="shared" si="10"/>
        <v>41817</v>
      </c>
      <c r="J49" s="314">
        <f t="shared" si="10"/>
        <v>0</v>
      </c>
      <c r="K49" s="314">
        <f t="shared" si="10"/>
        <v>0</v>
      </c>
      <c r="L49" s="314">
        <f t="shared" si="10"/>
        <v>0</v>
      </c>
      <c r="M49" s="314">
        <f t="shared" si="10"/>
        <v>0</v>
      </c>
      <c r="N49" s="314">
        <f t="shared" si="10"/>
        <v>0</v>
      </c>
      <c r="O49" s="314">
        <f t="shared" si="10"/>
        <v>0</v>
      </c>
      <c r="P49" s="314">
        <f t="shared" si="10"/>
        <v>0</v>
      </c>
      <c r="Q49" s="314">
        <f t="shared" si="10"/>
        <v>0</v>
      </c>
      <c r="R49" s="314">
        <f t="shared" si="10"/>
        <v>0</v>
      </c>
    </row>
    <row r="50" spans="1:18" ht="17.25" customHeight="1">
      <c r="A50" s="312"/>
      <c r="B50" s="312"/>
      <c r="C50" s="319">
        <v>4440</v>
      </c>
      <c r="D50" s="320" t="s">
        <v>240</v>
      </c>
      <c r="E50" s="330">
        <f>F50+O50</f>
        <v>41817</v>
      </c>
      <c r="F50" s="330">
        <f>G50+J50+K50+L50+M50+N50</f>
        <v>41817</v>
      </c>
      <c r="G50" s="330">
        <f>H50+I50</f>
        <v>41817</v>
      </c>
      <c r="H50" s="321">
        <v>0</v>
      </c>
      <c r="I50" s="350">
        <v>41817</v>
      </c>
      <c r="J50" s="321">
        <v>0</v>
      </c>
      <c r="K50" s="321">
        <v>0</v>
      </c>
      <c r="L50" s="321"/>
      <c r="M50" s="321"/>
      <c r="N50" s="321"/>
      <c r="O50" s="385"/>
      <c r="P50" s="385"/>
      <c r="Q50" s="385"/>
      <c r="R50" s="321"/>
    </row>
    <row r="51" spans="1:18" ht="12.75" hidden="1">
      <c r="A51" s="319"/>
      <c r="B51" s="319"/>
      <c r="C51" s="319"/>
      <c r="D51" s="39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91"/>
      <c r="P51" s="391"/>
      <c r="Q51" s="391"/>
      <c r="R51" s="321"/>
    </row>
    <row r="52" spans="1:18" ht="12.75" hidden="1">
      <c r="A52" s="319"/>
      <c r="B52" s="319"/>
      <c r="C52" s="319"/>
      <c r="D52" s="39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91"/>
      <c r="P52" s="391"/>
      <c r="Q52" s="391"/>
      <c r="R52" s="321"/>
    </row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B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8" r:id="rId1"/>
  <headerFooter alignWithMargins="0">
    <oddHeader>&amp;R&amp;"Times New Roman,Normalny"&amp;12Załącznik Nr 20 do Uchwały  Nr III/12/2010 Rady Miejskiej w Barlinku z dnia 30 grudnia 2010</oddHeader>
    <oddFooter>&amp;C&amp;"Times New Roman,Normalny"&amp;12Strona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defaultGridColor="0" view="pageBreakPreview" zoomScaleSheetLayoutView="100" colorId="15" workbookViewId="0" topLeftCell="A19">
      <selection activeCell="A49" sqref="A49"/>
    </sheetView>
  </sheetViews>
  <sheetFormatPr defaultColWidth="9.00390625" defaultRowHeight="12.75"/>
  <cols>
    <col min="1" max="1" width="5.125" style="341" customWidth="1"/>
    <col min="2" max="2" width="6.00390625" style="341" customWidth="1"/>
    <col min="3" max="3" width="5.875" style="341" customWidth="1"/>
    <col min="4" max="4" width="47.125" style="341" customWidth="1"/>
    <col min="5" max="5" width="11.625" style="341" customWidth="1"/>
    <col min="6" max="6" width="9.375" style="341" customWidth="1"/>
    <col min="7" max="9" width="9.625" style="341" customWidth="1"/>
    <col min="10" max="10" width="6.625" style="341" customWidth="1"/>
    <col min="11" max="11" width="6.75390625" style="341" customWidth="1"/>
    <col min="12" max="12" width="6.875" style="341" customWidth="1"/>
    <col min="13" max="17" width="6.375" style="341" customWidth="1"/>
    <col min="18" max="18" width="7.25390625" style="341" customWidth="1"/>
    <col min="19" max="16384" width="9.125" style="341" customWidth="1"/>
  </cols>
  <sheetData>
    <row r="1" spans="2:18" ht="30.75" customHeight="1">
      <c r="B1" s="529" t="s">
        <v>420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0.5" customHeight="1">
      <c r="A2" s="552" t="s">
        <v>1</v>
      </c>
      <c r="B2" s="552" t="s">
        <v>21</v>
      </c>
      <c r="C2" s="552" t="s">
        <v>22</v>
      </c>
      <c r="D2" s="552" t="s">
        <v>186</v>
      </c>
      <c r="E2" s="552" t="s">
        <v>187</v>
      </c>
      <c r="F2" s="553" t="s">
        <v>188</v>
      </c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1:18" ht="11.25" customHeight="1">
      <c r="A3" s="552"/>
      <c r="B3" s="552"/>
      <c r="C3" s="552"/>
      <c r="D3" s="552"/>
      <c r="E3" s="552"/>
      <c r="F3" s="554" t="s">
        <v>177</v>
      </c>
      <c r="G3" s="555" t="s">
        <v>25</v>
      </c>
      <c r="H3" s="555"/>
      <c r="I3" s="555"/>
      <c r="J3" s="555"/>
      <c r="K3" s="555"/>
      <c r="L3" s="555"/>
      <c r="M3" s="555"/>
      <c r="N3" s="555"/>
      <c r="O3" s="542" t="s">
        <v>189</v>
      </c>
      <c r="P3" s="555" t="s">
        <v>25</v>
      </c>
      <c r="Q3" s="555"/>
      <c r="R3" s="555"/>
    </row>
    <row r="4" spans="1:18" ht="11.25" customHeight="1">
      <c r="A4" s="552"/>
      <c r="B4" s="552"/>
      <c r="C4" s="552"/>
      <c r="D4" s="552"/>
      <c r="E4" s="552"/>
      <c r="F4" s="554"/>
      <c r="G4" s="554" t="s">
        <v>190</v>
      </c>
      <c r="H4" s="555" t="s">
        <v>191</v>
      </c>
      <c r="I4" s="555"/>
      <c r="J4" s="542" t="s">
        <v>192</v>
      </c>
      <c r="K4" s="542" t="s">
        <v>193</v>
      </c>
      <c r="L4" s="542" t="s">
        <v>200</v>
      </c>
      <c r="M4" s="542" t="s">
        <v>194</v>
      </c>
      <c r="N4" s="542" t="s">
        <v>195</v>
      </c>
      <c r="O4" s="542"/>
      <c r="P4" s="542" t="s">
        <v>196</v>
      </c>
      <c r="Q4" s="233" t="s">
        <v>25</v>
      </c>
      <c r="R4" s="542" t="s">
        <v>197</v>
      </c>
    </row>
    <row r="5" spans="1:18" ht="178.5">
      <c r="A5" s="552"/>
      <c r="B5" s="552"/>
      <c r="C5" s="552"/>
      <c r="D5" s="552"/>
      <c r="E5" s="552"/>
      <c r="F5" s="554"/>
      <c r="G5" s="554"/>
      <c r="H5" s="232" t="s">
        <v>198</v>
      </c>
      <c r="I5" s="232" t="s">
        <v>199</v>
      </c>
      <c r="J5" s="542"/>
      <c r="K5" s="542"/>
      <c r="L5" s="542"/>
      <c r="M5" s="542"/>
      <c r="N5" s="542"/>
      <c r="O5" s="542"/>
      <c r="P5" s="542"/>
      <c r="Q5" s="234" t="s">
        <v>200</v>
      </c>
      <c r="R5" s="542"/>
    </row>
    <row r="6" spans="1:18" ht="10.5" customHeight="1">
      <c r="A6" s="308">
        <v>1</v>
      </c>
      <c r="B6" s="308">
        <v>2</v>
      </c>
      <c r="C6" s="308">
        <v>3</v>
      </c>
      <c r="D6" s="308">
        <v>4</v>
      </c>
      <c r="E6" s="308">
        <v>5</v>
      </c>
      <c r="F6" s="308">
        <v>6</v>
      </c>
      <c r="G6" s="308">
        <v>7</v>
      </c>
      <c r="H6" s="308">
        <v>8</v>
      </c>
      <c r="I6" s="308">
        <v>9</v>
      </c>
      <c r="J6" s="308">
        <v>10</v>
      </c>
      <c r="K6" s="308">
        <v>11</v>
      </c>
      <c r="L6" s="308">
        <v>12</v>
      </c>
      <c r="M6" s="308">
        <v>13</v>
      </c>
      <c r="N6" s="308">
        <v>14</v>
      </c>
      <c r="O6" s="308">
        <v>15</v>
      </c>
      <c r="P6" s="308">
        <v>16</v>
      </c>
      <c r="Q6" s="308">
        <v>17</v>
      </c>
      <c r="R6" s="308">
        <v>18</v>
      </c>
    </row>
    <row r="7" spans="1:18" ht="16.5" customHeight="1">
      <c r="A7" s="360">
        <v>801</v>
      </c>
      <c r="B7" s="360"/>
      <c r="C7" s="360"/>
      <c r="D7" s="360" t="s">
        <v>115</v>
      </c>
      <c r="E7" s="392">
        <f aca="true" t="shared" si="0" ref="E7:R7">E29+E35+E49+E8</f>
        <v>2997611</v>
      </c>
      <c r="F7" s="392">
        <f t="shared" si="0"/>
        <v>2997611</v>
      </c>
      <c r="G7" s="392">
        <f t="shared" si="0"/>
        <v>2986038</v>
      </c>
      <c r="H7" s="392">
        <f t="shared" si="0"/>
        <v>2313231</v>
      </c>
      <c r="I7" s="392">
        <f t="shared" si="0"/>
        <v>672807</v>
      </c>
      <c r="J7" s="392">
        <f t="shared" si="0"/>
        <v>0</v>
      </c>
      <c r="K7" s="392">
        <f t="shared" si="0"/>
        <v>11573</v>
      </c>
      <c r="L7" s="392">
        <f t="shared" si="0"/>
        <v>0</v>
      </c>
      <c r="M7" s="392">
        <f t="shared" si="0"/>
        <v>0</v>
      </c>
      <c r="N7" s="392">
        <f t="shared" si="0"/>
        <v>0</v>
      </c>
      <c r="O7" s="392">
        <f t="shared" si="0"/>
        <v>0</v>
      </c>
      <c r="P7" s="392">
        <f t="shared" si="0"/>
        <v>0</v>
      </c>
      <c r="Q7" s="392">
        <f t="shared" si="0"/>
        <v>0</v>
      </c>
      <c r="R7" s="392">
        <f t="shared" si="0"/>
        <v>0</v>
      </c>
    </row>
    <row r="8" spans="1:18" ht="16.5" customHeight="1">
      <c r="A8" s="371"/>
      <c r="B8" s="371">
        <v>80110</v>
      </c>
      <c r="C8" s="371"/>
      <c r="D8" s="363" t="s">
        <v>125</v>
      </c>
      <c r="E8" s="373">
        <f>SUM(E9:E27)</f>
        <v>2493826</v>
      </c>
      <c r="F8" s="373">
        <f>SUM(F9:F27)</f>
        <v>2493826</v>
      </c>
      <c r="G8" s="373">
        <f>SUM(G9:G27)</f>
        <v>2484053</v>
      </c>
      <c r="H8" s="373">
        <f aca="true" t="shared" si="1" ref="H8:R8">SUM(H9:H28)</f>
        <v>2076268</v>
      </c>
      <c r="I8" s="373">
        <f t="shared" si="1"/>
        <v>407785</v>
      </c>
      <c r="J8" s="373">
        <f t="shared" si="1"/>
        <v>0</v>
      </c>
      <c r="K8" s="373">
        <f t="shared" si="1"/>
        <v>9773</v>
      </c>
      <c r="L8" s="373">
        <f t="shared" si="1"/>
        <v>0</v>
      </c>
      <c r="M8" s="373">
        <f t="shared" si="1"/>
        <v>0</v>
      </c>
      <c r="N8" s="373">
        <f t="shared" si="1"/>
        <v>0</v>
      </c>
      <c r="O8" s="373">
        <f t="shared" si="1"/>
        <v>0</v>
      </c>
      <c r="P8" s="373">
        <f t="shared" si="1"/>
        <v>0</v>
      </c>
      <c r="Q8" s="373">
        <f t="shared" si="1"/>
        <v>0</v>
      </c>
      <c r="R8" s="373">
        <f t="shared" si="1"/>
        <v>0</v>
      </c>
    </row>
    <row r="9" spans="1:18" ht="17.25" customHeight="1">
      <c r="A9" s="371"/>
      <c r="B9" s="371"/>
      <c r="C9" s="372">
        <v>3020</v>
      </c>
      <c r="D9" s="393" t="s">
        <v>282</v>
      </c>
      <c r="E9" s="394">
        <f aca="true" t="shared" si="2" ref="E9:E28">F9+O9</f>
        <v>9773</v>
      </c>
      <c r="F9" s="394">
        <f aca="true" t="shared" si="3" ref="F9:F28">G9+J9+K9+L9+M9+N9</f>
        <v>9773</v>
      </c>
      <c r="G9" s="394">
        <f aca="true" t="shared" si="4" ref="G9:G28">H9+I9</f>
        <v>0</v>
      </c>
      <c r="H9" s="370"/>
      <c r="I9" s="370"/>
      <c r="J9" s="370"/>
      <c r="K9" s="370">
        <v>9773</v>
      </c>
      <c r="L9" s="370"/>
      <c r="M9" s="370"/>
      <c r="N9" s="370"/>
      <c r="O9" s="370"/>
      <c r="P9" s="395"/>
      <c r="Q9" s="395"/>
      <c r="R9" s="370"/>
    </row>
    <row r="10" spans="1:18" ht="17.25" customHeight="1">
      <c r="A10" s="372"/>
      <c r="B10" s="372"/>
      <c r="C10" s="372">
        <v>3240</v>
      </c>
      <c r="D10" s="393" t="s">
        <v>294</v>
      </c>
      <c r="E10" s="394">
        <f t="shared" si="2"/>
        <v>0</v>
      </c>
      <c r="F10" s="394">
        <f t="shared" si="3"/>
        <v>0</v>
      </c>
      <c r="G10" s="394">
        <f t="shared" si="4"/>
        <v>0</v>
      </c>
      <c r="H10" s="370"/>
      <c r="I10" s="370"/>
      <c r="J10" s="370"/>
      <c r="K10" s="370"/>
      <c r="L10" s="370"/>
      <c r="M10" s="370"/>
      <c r="N10" s="370"/>
      <c r="O10" s="370"/>
      <c r="P10" s="395"/>
      <c r="Q10" s="395"/>
      <c r="R10" s="370"/>
    </row>
    <row r="11" spans="1:18" ht="17.25" customHeight="1">
      <c r="A11" s="372"/>
      <c r="B11" s="372"/>
      <c r="C11" s="372">
        <v>4010</v>
      </c>
      <c r="D11" s="393" t="s">
        <v>265</v>
      </c>
      <c r="E11" s="394">
        <f t="shared" si="2"/>
        <v>1595176</v>
      </c>
      <c r="F11" s="394">
        <f t="shared" si="3"/>
        <v>1595176</v>
      </c>
      <c r="G11" s="394">
        <f t="shared" si="4"/>
        <v>1595176</v>
      </c>
      <c r="H11" s="396">
        <f>(215400+11400+28633+21509)+(873366+245612+138782+29400+3139+17409+60526)-50000</f>
        <v>1595176</v>
      </c>
      <c r="I11" s="370"/>
      <c r="J11" s="370"/>
      <c r="K11" s="370"/>
      <c r="L11" s="370"/>
      <c r="M11" s="370"/>
      <c r="N11" s="370"/>
      <c r="O11" s="370"/>
      <c r="P11" s="395"/>
      <c r="Q11" s="395"/>
      <c r="R11" s="370"/>
    </row>
    <row r="12" spans="1:18" ht="17.25" customHeight="1">
      <c r="A12" s="372"/>
      <c r="B12" s="372"/>
      <c r="C12" s="372">
        <v>4040</v>
      </c>
      <c r="D12" s="393" t="s">
        <v>283</v>
      </c>
      <c r="E12" s="394">
        <f t="shared" si="2"/>
        <v>159170</v>
      </c>
      <c r="F12" s="394">
        <f t="shared" si="3"/>
        <v>159170</v>
      </c>
      <c r="G12" s="394">
        <f t="shared" si="4"/>
        <v>159170</v>
      </c>
      <c r="H12" s="370">
        <v>159170</v>
      </c>
      <c r="I12" s="370"/>
      <c r="J12" s="370"/>
      <c r="K12" s="370"/>
      <c r="L12" s="370"/>
      <c r="M12" s="370"/>
      <c r="N12" s="370"/>
      <c r="O12" s="370"/>
      <c r="P12" s="395"/>
      <c r="Q12" s="395"/>
      <c r="R12" s="370"/>
    </row>
    <row r="13" spans="1:18" ht="17.25" customHeight="1">
      <c r="A13" s="372"/>
      <c r="B13" s="372"/>
      <c r="C13" s="372">
        <v>4110</v>
      </c>
      <c r="D13" s="393" t="s">
        <v>284</v>
      </c>
      <c r="E13" s="394">
        <f t="shared" si="2"/>
        <v>278941</v>
      </c>
      <c r="F13" s="394">
        <f t="shared" si="3"/>
        <v>278941</v>
      </c>
      <c r="G13" s="394">
        <f t="shared" si="4"/>
        <v>278941</v>
      </c>
      <c r="H13" s="394">
        <v>278941</v>
      </c>
      <c r="I13" s="370"/>
      <c r="J13" s="370"/>
      <c r="K13" s="370"/>
      <c r="L13" s="370"/>
      <c r="M13" s="370"/>
      <c r="N13" s="370"/>
      <c r="O13" s="370"/>
      <c r="P13" s="395"/>
      <c r="Q13" s="395"/>
      <c r="R13" s="370"/>
    </row>
    <row r="14" spans="1:18" ht="17.25" customHeight="1">
      <c r="A14" s="372"/>
      <c r="B14" s="372"/>
      <c r="C14" s="372">
        <v>4120</v>
      </c>
      <c r="D14" s="393" t="s">
        <v>285</v>
      </c>
      <c r="E14" s="394">
        <f t="shared" si="2"/>
        <v>42981</v>
      </c>
      <c r="F14" s="394">
        <f t="shared" si="3"/>
        <v>42981</v>
      </c>
      <c r="G14" s="394">
        <f t="shared" si="4"/>
        <v>42981</v>
      </c>
      <c r="H14" s="394">
        <v>42981</v>
      </c>
      <c r="I14" s="370"/>
      <c r="J14" s="370"/>
      <c r="K14" s="370"/>
      <c r="L14" s="370"/>
      <c r="M14" s="370"/>
      <c r="N14" s="370"/>
      <c r="O14" s="370"/>
      <c r="P14" s="395"/>
      <c r="Q14" s="395"/>
      <c r="R14" s="370"/>
    </row>
    <row r="15" spans="1:18" ht="17.25" customHeight="1">
      <c r="A15" s="372"/>
      <c r="B15" s="372"/>
      <c r="C15" s="372">
        <v>4170</v>
      </c>
      <c r="D15" s="393" t="s">
        <v>413</v>
      </c>
      <c r="E15" s="394">
        <f t="shared" si="2"/>
        <v>0</v>
      </c>
      <c r="F15" s="394">
        <f t="shared" si="3"/>
        <v>0</v>
      </c>
      <c r="G15" s="394">
        <f t="shared" si="4"/>
        <v>0</v>
      </c>
      <c r="H15" s="370"/>
      <c r="I15" s="370">
        <v>0</v>
      </c>
      <c r="J15" s="370"/>
      <c r="K15" s="370"/>
      <c r="L15" s="370"/>
      <c r="M15" s="370"/>
      <c r="N15" s="370"/>
      <c r="O15" s="370"/>
      <c r="P15" s="395"/>
      <c r="Q15" s="395"/>
      <c r="R15" s="370"/>
    </row>
    <row r="16" spans="1:18" ht="17.25" customHeight="1">
      <c r="A16" s="372"/>
      <c r="B16" s="372"/>
      <c r="C16" s="372">
        <v>4210</v>
      </c>
      <c r="D16" s="393" t="s">
        <v>276</v>
      </c>
      <c r="E16" s="394">
        <f t="shared" si="2"/>
        <v>31400</v>
      </c>
      <c r="F16" s="394">
        <f t="shared" si="3"/>
        <v>31400</v>
      </c>
      <c r="G16" s="394">
        <f t="shared" si="4"/>
        <v>31400</v>
      </c>
      <c r="H16" s="370"/>
      <c r="I16" s="370">
        <f>28000+3400</f>
        <v>31400</v>
      </c>
      <c r="J16" s="370"/>
      <c r="K16" s="370"/>
      <c r="L16" s="370"/>
      <c r="M16" s="370"/>
      <c r="N16" s="370"/>
      <c r="O16" s="370"/>
      <c r="P16" s="395"/>
      <c r="Q16" s="395"/>
      <c r="R16" s="370"/>
    </row>
    <row r="17" spans="1:18" ht="17.25" customHeight="1">
      <c r="A17" s="372"/>
      <c r="B17" s="372"/>
      <c r="C17" s="372">
        <v>4240</v>
      </c>
      <c r="D17" s="393" t="s">
        <v>277</v>
      </c>
      <c r="E17" s="394">
        <f t="shared" si="2"/>
        <v>10000</v>
      </c>
      <c r="F17" s="394">
        <f t="shared" si="3"/>
        <v>10000</v>
      </c>
      <c r="G17" s="394">
        <f t="shared" si="4"/>
        <v>10000</v>
      </c>
      <c r="H17" s="370"/>
      <c r="I17" s="370">
        <v>10000</v>
      </c>
      <c r="J17" s="370"/>
      <c r="K17" s="370"/>
      <c r="L17" s="370"/>
      <c r="M17" s="370"/>
      <c r="N17" s="370"/>
      <c r="O17" s="370"/>
      <c r="P17" s="395"/>
      <c r="Q17" s="395"/>
      <c r="R17" s="370"/>
    </row>
    <row r="18" spans="1:18" ht="17.25" customHeight="1">
      <c r="A18" s="372"/>
      <c r="B18" s="372"/>
      <c r="C18" s="372">
        <v>4260</v>
      </c>
      <c r="D18" s="393" t="s">
        <v>286</v>
      </c>
      <c r="E18" s="394">
        <f t="shared" si="2"/>
        <v>204000</v>
      </c>
      <c r="F18" s="394">
        <f t="shared" si="3"/>
        <v>204000</v>
      </c>
      <c r="G18" s="394">
        <f t="shared" si="4"/>
        <v>204000</v>
      </c>
      <c r="H18" s="370"/>
      <c r="I18" s="370">
        <v>204000</v>
      </c>
      <c r="J18" s="370"/>
      <c r="K18" s="370"/>
      <c r="L18" s="370"/>
      <c r="M18" s="370"/>
      <c r="N18" s="370"/>
      <c r="O18" s="370"/>
      <c r="P18" s="395"/>
      <c r="Q18" s="395"/>
      <c r="R18" s="370"/>
    </row>
    <row r="19" spans="1:18" ht="17.25" customHeight="1">
      <c r="A19" s="372"/>
      <c r="B19" s="372"/>
      <c r="C19" s="372">
        <v>4270</v>
      </c>
      <c r="D19" s="393" t="s">
        <v>231</v>
      </c>
      <c r="E19" s="394">
        <f t="shared" si="2"/>
        <v>10000</v>
      </c>
      <c r="F19" s="394">
        <f t="shared" si="3"/>
        <v>10000</v>
      </c>
      <c r="G19" s="394">
        <f t="shared" si="4"/>
        <v>10000</v>
      </c>
      <c r="H19" s="370"/>
      <c r="I19" s="370">
        <v>10000</v>
      </c>
      <c r="J19" s="370"/>
      <c r="K19" s="370"/>
      <c r="L19" s="370"/>
      <c r="M19" s="370"/>
      <c r="N19" s="370"/>
      <c r="O19" s="370"/>
      <c r="P19" s="395"/>
      <c r="Q19" s="395"/>
      <c r="R19" s="370"/>
    </row>
    <row r="20" spans="1:18" ht="17.25" customHeight="1">
      <c r="A20" s="372"/>
      <c r="B20" s="372"/>
      <c r="C20" s="372">
        <v>4280</v>
      </c>
      <c r="D20" s="393" t="s">
        <v>278</v>
      </c>
      <c r="E20" s="394">
        <f t="shared" si="2"/>
        <v>100</v>
      </c>
      <c r="F20" s="394">
        <f t="shared" si="3"/>
        <v>100</v>
      </c>
      <c r="G20" s="394">
        <f t="shared" si="4"/>
        <v>100</v>
      </c>
      <c r="H20" s="370"/>
      <c r="I20" s="370">
        <v>100</v>
      </c>
      <c r="J20" s="370"/>
      <c r="K20" s="370"/>
      <c r="L20" s="370"/>
      <c r="M20" s="370"/>
      <c r="N20" s="370"/>
      <c r="O20" s="370"/>
      <c r="P20" s="395"/>
      <c r="Q20" s="395"/>
      <c r="R20" s="370"/>
    </row>
    <row r="21" spans="1:18" ht="17.25" customHeight="1">
      <c r="A21" s="372"/>
      <c r="B21" s="372"/>
      <c r="C21" s="372">
        <v>4300</v>
      </c>
      <c r="D21" s="393" t="s">
        <v>287</v>
      </c>
      <c r="E21" s="394">
        <f t="shared" si="2"/>
        <v>50761</v>
      </c>
      <c r="F21" s="394">
        <f t="shared" si="3"/>
        <v>50761</v>
      </c>
      <c r="G21" s="394">
        <f t="shared" si="4"/>
        <v>50761</v>
      </c>
      <c r="H21" s="370"/>
      <c r="I21" s="370">
        <f>50000+761</f>
        <v>50761</v>
      </c>
      <c r="J21" s="370"/>
      <c r="K21" s="370"/>
      <c r="L21" s="370"/>
      <c r="M21" s="370"/>
      <c r="N21" s="370"/>
      <c r="O21" s="370"/>
      <c r="P21" s="395"/>
      <c r="Q21" s="395"/>
      <c r="R21" s="370"/>
    </row>
    <row r="22" spans="1:18" ht="17.25" customHeight="1">
      <c r="A22" s="372"/>
      <c r="B22" s="372"/>
      <c r="C22" s="372">
        <v>4350</v>
      </c>
      <c r="D22" s="393" t="s">
        <v>288</v>
      </c>
      <c r="E22" s="394">
        <f t="shared" si="2"/>
        <v>3000</v>
      </c>
      <c r="F22" s="394">
        <f t="shared" si="3"/>
        <v>3000</v>
      </c>
      <c r="G22" s="394">
        <f t="shared" si="4"/>
        <v>3000</v>
      </c>
      <c r="H22" s="370"/>
      <c r="I22" s="370">
        <v>3000</v>
      </c>
      <c r="J22" s="370"/>
      <c r="K22" s="370"/>
      <c r="L22" s="370"/>
      <c r="M22" s="370"/>
      <c r="N22" s="370"/>
      <c r="O22" s="370"/>
      <c r="P22" s="395"/>
      <c r="Q22" s="395"/>
      <c r="R22" s="370"/>
    </row>
    <row r="23" spans="1:18" ht="17.25" customHeight="1">
      <c r="A23" s="372"/>
      <c r="B23" s="372"/>
      <c r="C23" s="372">
        <v>4370</v>
      </c>
      <c r="D23" s="393" t="s">
        <v>289</v>
      </c>
      <c r="E23" s="394">
        <f t="shared" si="2"/>
        <v>4444</v>
      </c>
      <c r="F23" s="394">
        <f t="shared" si="3"/>
        <v>4444</v>
      </c>
      <c r="G23" s="394">
        <f t="shared" si="4"/>
        <v>4444</v>
      </c>
      <c r="H23" s="370"/>
      <c r="I23" s="370">
        <v>4444</v>
      </c>
      <c r="J23" s="370"/>
      <c r="K23" s="370"/>
      <c r="L23" s="370"/>
      <c r="M23" s="370"/>
      <c r="N23" s="370"/>
      <c r="O23" s="370"/>
      <c r="P23" s="395"/>
      <c r="Q23" s="395"/>
      <c r="R23" s="370"/>
    </row>
    <row r="24" spans="1:18" ht="17.25" customHeight="1">
      <c r="A24" s="372"/>
      <c r="B24" s="372"/>
      <c r="C24" s="372">
        <v>4410</v>
      </c>
      <c r="D24" s="393" t="s">
        <v>290</v>
      </c>
      <c r="E24" s="394">
        <f t="shared" si="2"/>
        <v>1000</v>
      </c>
      <c r="F24" s="394">
        <f t="shared" si="3"/>
        <v>1000</v>
      </c>
      <c r="G24" s="394">
        <f t="shared" si="4"/>
        <v>1000</v>
      </c>
      <c r="H24" s="370"/>
      <c r="I24" s="370">
        <v>1000</v>
      </c>
      <c r="J24" s="370"/>
      <c r="K24" s="370"/>
      <c r="L24" s="370"/>
      <c r="M24" s="370"/>
      <c r="N24" s="370"/>
      <c r="O24" s="370"/>
      <c r="P24" s="395"/>
      <c r="Q24" s="395"/>
      <c r="R24" s="370"/>
    </row>
    <row r="25" spans="1:18" ht="17.25" customHeight="1">
      <c r="A25" s="372"/>
      <c r="B25" s="372"/>
      <c r="C25" s="372">
        <v>4430</v>
      </c>
      <c r="D25" s="393" t="s">
        <v>291</v>
      </c>
      <c r="E25" s="394">
        <f t="shared" si="2"/>
        <v>1808</v>
      </c>
      <c r="F25" s="394">
        <f t="shared" si="3"/>
        <v>1808</v>
      </c>
      <c r="G25" s="394">
        <f t="shared" si="4"/>
        <v>1808</v>
      </c>
      <c r="H25" s="370"/>
      <c r="I25" s="370">
        <v>1808</v>
      </c>
      <c r="J25" s="370"/>
      <c r="K25" s="370"/>
      <c r="L25" s="370"/>
      <c r="M25" s="370"/>
      <c r="N25" s="370"/>
      <c r="O25" s="370"/>
      <c r="P25" s="395"/>
      <c r="Q25" s="395"/>
      <c r="R25" s="370"/>
    </row>
    <row r="26" spans="1:18" ht="17.25" customHeight="1">
      <c r="A26" s="372"/>
      <c r="B26" s="372"/>
      <c r="C26" s="372">
        <v>4440</v>
      </c>
      <c r="D26" s="393" t="s">
        <v>240</v>
      </c>
      <c r="E26" s="394">
        <f t="shared" si="2"/>
        <v>89772</v>
      </c>
      <c r="F26" s="394">
        <f t="shared" si="3"/>
        <v>89772</v>
      </c>
      <c r="G26" s="394">
        <f t="shared" si="4"/>
        <v>89772</v>
      </c>
      <c r="H26" s="370"/>
      <c r="I26" s="370">
        <v>89772</v>
      </c>
      <c r="J26" s="370"/>
      <c r="K26" s="370"/>
      <c r="L26" s="370"/>
      <c r="M26" s="370"/>
      <c r="N26" s="370"/>
      <c r="O26" s="370"/>
      <c r="P26" s="395"/>
      <c r="Q26" s="395"/>
      <c r="R26" s="370"/>
    </row>
    <row r="27" spans="1:18" ht="27" customHeight="1">
      <c r="A27" s="372"/>
      <c r="B27" s="372"/>
      <c r="C27" s="372">
        <v>4700</v>
      </c>
      <c r="D27" s="367" t="s">
        <v>292</v>
      </c>
      <c r="E27" s="394">
        <f t="shared" si="2"/>
        <v>1500</v>
      </c>
      <c r="F27" s="394">
        <f t="shared" si="3"/>
        <v>1500</v>
      </c>
      <c r="G27" s="394">
        <f t="shared" si="4"/>
        <v>1500</v>
      </c>
      <c r="H27" s="370"/>
      <c r="I27" s="370">
        <v>1500</v>
      </c>
      <c r="J27" s="370"/>
      <c r="K27" s="370"/>
      <c r="L27" s="370"/>
      <c r="M27" s="370"/>
      <c r="N27" s="370"/>
      <c r="O27" s="370"/>
      <c r="P27" s="395"/>
      <c r="Q27" s="395"/>
      <c r="R27" s="370"/>
    </row>
    <row r="28" spans="1:18" ht="17.25" customHeight="1">
      <c r="A28" s="372"/>
      <c r="B28" s="372"/>
      <c r="C28" s="372">
        <v>6050</v>
      </c>
      <c r="D28" s="393" t="s">
        <v>375</v>
      </c>
      <c r="E28" s="394">
        <f t="shared" si="2"/>
        <v>0</v>
      </c>
      <c r="F28" s="394">
        <f t="shared" si="3"/>
        <v>0</v>
      </c>
      <c r="G28" s="394">
        <f t="shared" si="4"/>
        <v>0</v>
      </c>
      <c r="H28" s="370"/>
      <c r="I28" s="370"/>
      <c r="J28" s="370"/>
      <c r="K28" s="370"/>
      <c r="L28" s="370"/>
      <c r="M28" s="370"/>
      <c r="N28" s="370"/>
      <c r="O28" s="370"/>
      <c r="P28" s="395"/>
      <c r="Q28" s="395"/>
      <c r="R28" s="370"/>
    </row>
    <row r="29" spans="1:18" ht="16.5" customHeight="1">
      <c r="A29" s="363"/>
      <c r="B29" s="371">
        <v>80146</v>
      </c>
      <c r="C29" s="372"/>
      <c r="D29" s="363" t="s">
        <v>299</v>
      </c>
      <c r="E29" s="373">
        <f aca="true" t="shared" si="5" ref="E29:R29">SUM(E30:E34)</f>
        <v>6400</v>
      </c>
      <c r="F29" s="373">
        <f t="shared" si="5"/>
        <v>6400</v>
      </c>
      <c r="G29" s="373">
        <f t="shared" si="5"/>
        <v>6400</v>
      </c>
      <c r="H29" s="373">
        <f t="shared" si="5"/>
        <v>0</v>
      </c>
      <c r="I29" s="373">
        <f t="shared" si="5"/>
        <v>6400</v>
      </c>
      <c r="J29" s="373">
        <f t="shared" si="5"/>
        <v>0</v>
      </c>
      <c r="K29" s="373">
        <f t="shared" si="5"/>
        <v>0</v>
      </c>
      <c r="L29" s="373">
        <f t="shared" si="5"/>
        <v>0</v>
      </c>
      <c r="M29" s="373">
        <f t="shared" si="5"/>
        <v>0</v>
      </c>
      <c r="N29" s="373">
        <f t="shared" si="5"/>
        <v>0</v>
      </c>
      <c r="O29" s="373">
        <f t="shared" si="5"/>
        <v>0</v>
      </c>
      <c r="P29" s="373">
        <f t="shared" si="5"/>
        <v>0</v>
      </c>
      <c r="Q29" s="373">
        <f t="shared" si="5"/>
        <v>0</v>
      </c>
      <c r="R29" s="373">
        <f t="shared" si="5"/>
        <v>0</v>
      </c>
    </row>
    <row r="30" spans="1:18" ht="17.25" customHeight="1">
      <c r="A30" s="371"/>
      <c r="B30" s="371"/>
      <c r="C30" s="372">
        <v>4210</v>
      </c>
      <c r="D30" s="393" t="s">
        <v>276</v>
      </c>
      <c r="E30" s="394">
        <f>F30+O30</f>
        <v>1700</v>
      </c>
      <c r="F30" s="394">
        <f>G30+J30+K30+L30+M30+N30</f>
        <v>1700</v>
      </c>
      <c r="G30" s="394">
        <f>H30+I30</f>
        <v>1700</v>
      </c>
      <c r="H30" s="370"/>
      <c r="I30" s="370">
        <v>1700</v>
      </c>
      <c r="J30" s="370"/>
      <c r="K30" s="370"/>
      <c r="L30" s="370"/>
      <c r="M30" s="370"/>
      <c r="N30" s="370"/>
      <c r="O30" s="370"/>
      <c r="P30" s="395"/>
      <c r="Q30" s="395"/>
      <c r="R30" s="370"/>
    </row>
    <row r="31" spans="1:18" ht="17.25" customHeight="1">
      <c r="A31" s="371"/>
      <c r="B31" s="371"/>
      <c r="C31" s="372">
        <v>4240</v>
      </c>
      <c r="D31" s="393" t="s">
        <v>277</v>
      </c>
      <c r="E31" s="394">
        <f>F31+O31</f>
        <v>0</v>
      </c>
      <c r="F31" s="394">
        <f>G31+J31+K31+L31+M31+N31</f>
        <v>0</v>
      </c>
      <c r="G31" s="394">
        <f>H31+I31</f>
        <v>0</v>
      </c>
      <c r="H31" s="397"/>
      <c r="I31" s="397"/>
      <c r="J31" s="370"/>
      <c r="K31" s="370"/>
      <c r="L31" s="370"/>
      <c r="M31" s="370"/>
      <c r="N31" s="370"/>
      <c r="O31" s="370"/>
      <c r="P31" s="395"/>
      <c r="Q31" s="395"/>
      <c r="R31" s="370"/>
    </row>
    <row r="32" spans="1:18" ht="17.25" customHeight="1">
      <c r="A32" s="372"/>
      <c r="B32" s="372"/>
      <c r="C32" s="372">
        <v>4300</v>
      </c>
      <c r="D32" s="393" t="s">
        <v>287</v>
      </c>
      <c r="E32" s="394">
        <f>F32+O32</f>
        <v>2100</v>
      </c>
      <c r="F32" s="394">
        <f>G32+J32+K32+L32+M32+N32</f>
        <v>2100</v>
      </c>
      <c r="G32" s="394">
        <f>H32+I32</f>
        <v>2100</v>
      </c>
      <c r="H32" s="370"/>
      <c r="I32" s="370">
        <v>2100</v>
      </c>
      <c r="J32" s="370"/>
      <c r="K32" s="370"/>
      <c r="L32" s="370"/>
      <c r="M32" s="370"/>
      <c r="N32" s="370"/>
      <c r="O32" s="370"/>
      <c r="P32" s="395"/>
      <c r="Q32" s="395"/>
      <c r="R32" s="370"/>
    </row>
    <row r="33" spans="1:18" ht="17.25" customHeight="1">
      <c r="A33" s="372"/>
      <c r="B33" s="372"/>
      <c r="C33" s="372">
        <v>4410</v>
      </c>
      <c r="D33" s="393" t="s">
        <v>290</v>
      </c>
      <c r="E33" s="394">
        <f>F33+O33</f>
        <v>1600</v>
      </c>
      <c r="F33" s="394">
        <f>G33+J33+K33+L33+M33+N33</f>
        <v>1600</v>
      </c>
      <c r="G33" s="394">
        <f>H33+I33</f>
        <v>1600</v>
      </c>
      <c r="H33" s="370"/>
      <c r="I33" s="370">
        <v>1600</v>
      </c>
      <c r="J33" s="370"/>
      <c r="K33" s="370"/>
      <c r="L33" s="370"/>
      <c r="M33" s="370"/>
      <c r="N33" s="370"/>
      <c r="O33" s="370"/>
      <c r="P33" s="395"/>
      <c r="Q33" s="395"/>
      <c r="R33" s="370"/>
    </row>
    <row r="34" spans="1:18" ht="27" customHeight="1">
      <c r="A34" s="372"/>
      <c r="B34" s="372"/>
      <c r="C34" s="372">
        <v>4700</v>
      </c>
      <c r="D34" s="367" t="s">
        <v>292</v>
      </c>
      <c r="E34" s="394">
        <f>F34+O34</f>
        <v>1000</v>
      </c>
      <c r="F34" s="394">
        <f>G34+J34+K34+L34+M34+N34</f>
        <v>1000</v>
      </c>
      <c r="G34" s="394">
        <f>H34+I34</f>
        <v>1000</v>
      </c>
      <c r="H34" s="370"/>
      <c r="I34" s="370">
        <v>1000</v>
      </c>
      <c r="J34" s="370"/>
      <c r="K34" s="370"/>
      <c r="L34" s="370"/>
      <c r="M34" s="370"/>
      <c r="N34" s="370"/>
      <c r="O34" s="370"/>
      <c r="P34" s="395"/>
      <c r="Q34" s="395"/>
      <c r="R34" s="370"/>
    </row>
    <row r="35" spans="1:18" ht="16.5" customHeight="1">
      <c r="A35" s="363"/>
      <c r="B35" s="374">
        <v>80148</v>
      </c>
      <c r="C35" s="375"/>
      <c r="D35" s="376" t="s">
        <v>410</v>
      </c>
      <c r="E35" s="377">
        <f aca="true" t="shared" si="6" ref="E35:R35">SUM(E36:E48)</f>
        <v>483687</v>
      </c>
      <c r="F35" s="377">
        <f t="shared" si="6"/>
        <v>483687</v>
      </c>
      <c r="G35" s="377">
        <f t="shared" si="6"/>
        <v>481887</v>
      </c>
      <c r="H35" s="377">
        <f t="shared" si="6"/>
        <v>236963</v>
      </c>
      <c r="I35" s="377">
        <f t="shared" si="6"/>
        <v>244924</v>
      </c>
      <c r="J35" s="377">
        <f t="shared" si="6"/>
        <v>0</v>
      </c>
      <c r="K35" s="377">
        <f t="shared" si="6"/>
        <v>1800</v>
      </c>
      <c r="L35" s="377">
        <f t="shared" si="6"/>
        <v>0</v>
      </c>
      <c r="M35" s="377">
        <f t="shared" si="6"/>
        <v>0</v>
      </c>
      <c r="N35" s="377">
        <f t="shared" si="6"/>
        <v>0</v>
      </c>
      <c r="O35" s="377">
        <f t="shared" si="6"/>
        <v>0</v>
      </c>
      <c r="P35" s="377">
        <f t="shared" si="6"/>
        <v>0</v>
      </c>
      <c r="Q35" s="377">
        <f t="shared" si="6"/>
        <v>0</v>
      </c>
      <c r="R35" s="377">
        <f t="shared" si="6"/>
        <v>0</v>
      </c>
    </row>
    <row r="36" spans="1:18" ht="17.25" customHeight="1">
      <c r="A36" s="374"/>
      <c r="B36" s="374"/>
      <c r="C36" s="375">
        <v>3020</v>
      </c>
      <c r="D36" s="398" t="s">
        <v>282</v>
      </c>
      <c r="E36" s="394">
        <f aca="true" t="shared" si="7" ref="E36:E48">F36+O36</f>
        <v>1800</v>
      </c>
      <c r="F36" s="394">
        <f aca="true" t="shared" si="8" ref="F36:F48">G36+J36+K36+L36+M36+N36</f>
        <v>1800</v>
      </c>
      <c r="G36" s="394">
        <f aca="true" t="shared" si="9" ref="G36:G48">H36+I36</f>
        <v>0</v>
      </c>
      <c r="H36" s="399">
        <v>0</v>
      </c>
      <c r="I36" s="399">
        <v>0</v>
      </c>
      <c r="J36" s="399">
        <v>0</v>
      </c>
      <c r="K36" s="399">
        <v>1800</v>
      </c>
      <c r="L36" s="399"/>
      <c r="M36" s="399"/>
      <c r="N36" s="399"/>
      <c r="O36" s="400"/>
      <c r="P36" s="400"/>
      <c r="Q36" s="400"/>
      <c r="R36" s="399"/>
    </row>
    <row r="37" spans="1:18" ht="17.25" customHeight="1">
      <c r="A37" s="375"/>
      <c r="B37" s="375"/>
      <c r="C37" s="375">
        <v>4010</v>
      </c>
      <c r="D37" s="398" t="s">
        <v>265</v>
      </c>
      <c r="E37" s="394">
        <f t="shared" si="7"/>
        <v>184498</v>
      </c>
      <c r="F37" s="394">
        <f t="shared" si="8"/>
        <v>184498</v>
      </c>
      <c r="G37" s="394">
        <f t="shared" si="9"/>
        <v>184498</v>
      </c>
      <c r="H37" s="370">
        <f>(131640+26328+26530)</f>
        <v>184498</v>
      </c>
      <c r="I37" s="399"/>
      <c r="J37" s="399"/>
      <c r="K37" s="399"/>
      <c r="L37" s="399"/>
      <c r="M37" s="399"/>
      <c r="N37" s="399"/>
      <c r="O37" s="400"/>
      <c r="P37" s="400"/>
      <c r="Q37" s="400"/>
      <c r="R37" s="399"/>
    </row>
    <row r="38" spans="1:18" ht="17.25" customHeight="1">
      <c r="A38" s="375"/>
      <c r="B38" s="375"/>
      <c r="C38" s="375">
        <v>4040</v>
      </c>
      <c r="D38" s="398" t="s">
        <v>283</v>
      </c>
      <c r="E38" s="394">
        <f t="shared" si="7"/>
        <v>15725</v>
      </c>
      <c r="F38" s="394">
        <f t="shared" si="8"/>
        <v>15725</v>
      </c>
      <c r="G38" s="394">
        <f t="shared" si="9"/>
        <v>15725</v>
      </c>
      <c r="H38" s="399">
        <v>15725</v>
      </c>
      <c r="I38" s="399"/>
      <c r="J38" s="399"/>
      <c r="K38" s="399"/>
      <c r="L38" s="399"/>
      <c r="M38" s="399"/>
      <c r="N38" s="399"/>
      <c r="O38" s="400"/>
      <c r="P38" s="400"/>
      <c r="Q38" s="400"/>
      <c r="R38" s="399"/>
    </row>
    <row r="39" spans="1:18" ht="17.25" customHeight="1">
      <c r="A39" s="375"/>
      <c r="B39" s="375"/>
      <c r="C39" s="375">
        <v>4110</v>
      </c>
      <c r="D39" s="398" t="s">
        <v>284</v>
      </c>
      <c r="E39" s="394">
        <f t="shared" si="7"/>
        <v>31835</v>
      </c>
      <c r="F39" s="394">
        <f t="shared" si="8"/>
        <v>31835</v>
      </c>
      <c r="G39" s="394">
        <f t="shared" si="9"/>
        <v>31835</v>
      </c>
      <c r="H39" s="394">
        <v>31835</v>
      </c>
      <c r="I39" s="399"/>
      <c r="J39" s="399"/>
      <c r="K39" s="399"/>
      <c r="L39" s="399"/>
      <c r="M39" s="399"/>
      <c r="N39" s="399"/>
      <c r="O39" s="400"/>
      <c r="P39" s="400"/>
      <c r="Q39" s="400"/>
      <c r="R39" s="399"/>
    </row>
    <row r="40" spans="1:18" ht="17.25" customHeight="1">
      <c r="A40" s="375"/>
      <c r="B40" s="375"/>
      <c r="C40" s="375">
        <v>4120</v>
      </c>
      <c r="D40" s="398" t="s">
        <v>285</v>
      </c>
      <c r="E40" s="394">
        <f t="shared" si="7"/>
        <v>4905</v>
      </c>
      <c r="F40" s="394">
        <f t="shared" si="8"/>
        <v>4905</v>
      </c>
      <c r="G40" s="394">
        <f t="shared" si="9"/>
        <v>4905</v>
      </c>
      <c r="H40" s="394">
        <v>4905</v>
      </c>
      <c r="I40" s="399"/>
      <c r="J40" s="399"/>
      <c r="K40" s="399"/>
      <c r="L40" s="399"/>
      <c r="M40" s="399"/>
      <c r="N40" s="399"/>
      <c r="O40" s="400"/>
      <c r="P40" s="400"/>
      <c r="Q40" s="400"/>
      <c r="R40" s="399"/>
    </row>
    <row r="41" spans="1:18" ht="17.25" customHeight="1">
      <c r="A41" s="375"/>
      <c r="B41" s="375"/>
      <c r="C41" s="375">
        <v>4210</v>
      </c>
      <c r="D41" s="398" t="s">
        <v>276</v>
      </c>
      <c r="E41" s="394">
        <f t="shared" si="7"/>
        <v>10000</v>
      </c>
      <c r="F41" s="394">
        <f t="shared" si="8"/>
        <v>10000</v>
      </c>
      <c r="G41" s="394">
        <f t="shared" si="9"/>
        <v>10000</v>
      </c>
      <c r="H41" s="399"/>
      <c r="I41" s="399">
        <v>10000</v>
      </c>
      <c r="J41" s="399"/>
      <c r="K41" s="399"/>
      <c r="L41" s="399"/>
      <c r="M41" s="399"/>
      <c r="N41" s="399"/>
      <c r="O41" s="400"/>
      <c r="P41" s="400"/>
      <c r="Q41" s="400"/>
      <c r="R41" s="399"/>
    </row>
    <row r="42" spans="1:18" ht="17.25" customHeight="1">
      <c r="A42" s="375"/>
      <c r="B42" s="375"/>
      <c r="C42" s="375">
        <v>4220</v>
      </c>
      <c r="D42" s="398" t="s">
        <v>411</v>
      </c>
      <c r="E42" s="394">
        <f t="shared" si="7"/>
        <v>222112</v>
      </c>
      <c r="F42" s="394">
        <f t="shared" si="8"/>
        <v>222112</v>
      </c>
      <c r="G42" s="394">
        <f t="shared" si="9"/>
        <v>222112</v>
      </c>
      <c r="H42" s="399"/>
      <c r="I42" s="399">
        <v>222112</v>
      </c>
      <c r="J42" s="399"/>
      <c r="K42" s="399"/>
      <c r="L42" s="399"/>
      <c r="M42" s="399"/>
      <c r="N42" s="399"/>
      <c r="O42" s="400"/>
      <c r="P42" s="400"/>
      <c r="Q42" s="400"/>
      <c r="R42" s="399"/>
    </row>
    <row r="43" spans="1:18" ht="17.25" customHeight="1">
      <c r="A43" s="375"/>
      <c r="B43" s="375"/>
      <c r="C43" s="375">
        <v>4270</v>
      </c>
      <c r="D43" s="398" t="s">
        <v>231</v>
      </c>
      <c r="E43" s="394">
        <f t="shared" si="7"/>
        <v>2600</v>
      </c>
      <c r="F43" s="394">
        <f t="shared" si="8"/>
        <v>2600</v>
      </c>
      <c r="G43" s="394">
        <f t="shared" si="9"/>
        <v>2600</v>
      </c>
      <c r="H43" s="399"/>
      <c r="I43" s="399">
        <v>2600</v>
      </c>
      <c r="J43" s="399"/>
      <c r="K43" s="399"/>
      <c r="L43" s="399"/>
      <c r="M43" s="399"/>
      <c r="N43" s="399"/>
      <c r="O43" s="400"/>
      <c r="P43" s="400"/>
      <c r="Q43" s="400"/>
      <c r="R43" s="399"/>
    </row>
    <row r="44" spans="1:18" ht="17.25" customHeight="1">
      <c r="A44" s="375"/>
      <c r="B44" s="375"/>
      <c r="C44" s="375">
        <v>4280</v>
      </c>
      <c r="D44" s="398" t="s">
        <v>278</v>
      </c>
      <c r="E44" s="394">
        <f t="shared" si="7"/>
        <v>100</v>
      </c>
      <c r="F44" s="394">
        <f t="shared" si="8"/>
        <v>100</v>
      </c>
      <c r="G44" s="394">
        <f t="shared" si="9"/>
        <v>100</v>
      </c>
      <c r="H44" s="399"/>
      <c r="I44" s="399">
        <v>100</v>
      </c>
      <c r="J44" s="399"/>
      <c r="K44" s="399"/>
      <c r="L44" s="399"/>
      <c r="M44" s="399"/>
      <c r="N44" s="399"/>
      <c r="O44" s="400"/>
      <c r="P44" s="400"/>
      <c r="Q44" s="400"/>
      <c r="R44" s="399"/>
    </row>
    <row r="45" spans="1:18" ht="17.25" customHeight="1">
      <c r="A45" s="375"/>
      <c r="B45" s="375"/>
      <c r="C45" s="375">
        <v>4300</v>
      </c>
      <c r="D45" s="398" t="s">
        <v>287</v>
      </c>
      <c r="E45" s="394">
        <f t="shared" si="7"/>
        <v>1320</v>
      </c>
      <c r="F45" s="394">
        <f t="shared" si="8"/>
        <v>1320</v>
      </c>
      <c r="G45" s="394">
        <f t="shared" si="9"/>
        <v>1320</v>
      </c>
      <c r="H45" s="399"/>
      <c r="I45" s="399">
        <v>1320</v>
      </c>
      <c r="J45" s="399"/>
      <c r="K45" s="399"/>
      <c r="L45" s="399"/>
      <c r="M45" s="399"/>
      <c r="N45" s="399"/>
      <c r="O45" s="400"/>
      <c r="P45" s="400"/>
      <c r="Q45" s="400"/>
      <c r="R45" s="399"/>
    </row>
    <row r="46" spans="1:18" ht="17.25" customHeight="1">
      <c r="A46" s="375"/>
      <c r="B46" s="375"/>
      <c r="C46" s="375">
        <v>4410</v>
      </c>
      <c r="D46" s="398" t="s">
        <v>290</v>
      </c>
      <c r="E46" s="394">
        <f t="shared" si="7"/>
        <v>200</v>
      </c>
      <c r="F46" s="394">
        <f t="shared" si="8"/>
        <v>200</v>
      </c>
      <c r="G46" s="394">
        <f t="shared" si="9"/>
        <v>200</v>
      </c>
      <c r="H46" s="399"/>
      <c r="I46" s="399">
        <v>200</v>
      </c>
      <c r="J46" s="399"/>
      <c r="K46" s="399"/>
      <c r="L46" s="399"/>
      <c r="M46" s="399"/>
      <c r="N46" s="399"/>
      <c r="O46" s="400"/>
      <c r="P46" s="400"/>
      <c r="Q46" s="400"/>
      <c r="R46" s="399"/>
    </row>
    <row r="47" spans="1:18" ht="17.25" customHeight="1">
      <c r="A47" s="375"/>
      <c r="B47" s="375"/>
      <c r="C47" s="375">
        <v>4440</v>
      </c>
      <c r="D47" s="398" t="s">
        <v>240</v>
      </c>
      <c r="E47" s="394">
        <f t="shared" si="7"/>
        <v>7592</v>
      </c>
      <c r="F47" s="394">
        <f t="shared" si="8"/>
        <v>7592</v>
      </c>
      <c r="G47" s="394">
        <f t="shared" si="9"/>
        <v>7592</v>
      </c>
      <c r="H47" s="399"/>
      <c r="I47" s="399">
        <v>7592</v>
      </c>
      <c r="J47" s="399"/>
      <c r="K47" s="399"/>
      <c r="L47" s="399"/>
      <c r="M47" s="399"/>
      <c r="N47" s="399"/>
      <c r="O47" s="400"/>
      <c r="P47" s="400"/>
      <c r="Q47" s="400"/>
      <c r="R47" s="399"/>
    </row>
    <row r="48" spans="1:18" ht="27" customHeight="1">
      <c r="A48" s="375"/>
      <c r="B48" s="375"/>
      <c r="C48" s="375">
        <v>4700</v>
      </c>
      <c r="D48" s="367" t="s">
        <v>292</v>
      </c>
      <c r="E48" s="394">
        <f t="shared" si="7"/>
        <v>1000</v>
      </c>
      <c r="F48" s="394">
        <f t="shared" si="8"/>
        <v>1000</v>
      </c>
      <c r="G48" s="394">
        <f t="shared" si="9"/>
        <v>1000</v>
      </c>
      <c r="H48" s="399"/>
      <c r="I48" s="399">
        <v>1000</v>
      </c>
      <c r="J48" s="399"/>
      <c r="K48" s="399"/>
      <c r="L48" s="399"/>
      <c r="M48" s="399"/>
      <c r="N48" s="399"/>
      <c r="O48" s="400"/>
      <c r="P48" s="400"/>
      <c r="Q48" s="400"/>
      <c r="R48" s="399"/>
    </row>
    <row r="49" spans="1:18" ht="16.5" customHeight="1">
      <c r="A49" s="371"/>
      <c r="B49" s="371">
        <v>80195</v>
      </c>
      <c r="C49" s="372"/>
      <c r="D49" s="363" t="s">
        <v>30</v>
      </c>
      <c r="E49" s="373">
        <f aca="true" t="shared" si="10" ref="E49:R49">SUM(E50:E50)</f>
        <v>13698</v>
      </c>
      <c r="F49" s="373">
        <f t="shared" si="10"/>
        <v>13698</v>
      </c>
      <c r="G49" s="373">
        <f t="shared" si="10"/>
        <v>13698</v>
      </c>
      <c r="H49" s="373">
        <f t="shared" si="10"/>
        <v>0</v>
      </c>
      <c r="I49" s="373">
        <f t="shared" si="10"/>
        <v>13698</v>
      </c>
      <c r="J49" s="373">
        <f t="shared" si="10"/>
        <v>0</v>
      </c>
      <c r="K49" s="373">
        <f t="shared" si="10"/>
        <v>0</v>
      </c>
      <c r="L49" s="373">
        <f t="shared" si="10"/>
        <v>0</v>
      </c>
      <c r="M49" s="373">
        <f t="shared" si="10"/>
        <v>0</v>
      </c>
      <c r="N49" s="373">
        <f t="shared" si="10"/>
        <v>0</v>
      </c>
      <c r="O49" s="373">
        <f t="shared" si="10"/>
        <v>0</v>
      </c>
      <c r="P49" s="373">
        <f t="shared" si="10"/>
        <v>0</v>
      </c>
      <c r="Q49" s="373">
        <f t="shared" si="10"/>
        <v>0</v>
      </c>
      <c r="R49" s="373">
        <f t="shared" si="10"/>
        <v>0</v>
      </c>
    </row>
    <row r="50" spans="1:18" ht="17.25" customHeight="1">
      <c r="A50" s="371"/>
      <c r="B50" s="371"/>
      <c r="C50" s="372">
        <v>4440</v>
      </c>
      <c r="D50" s="393" t="s">
        <v>240</v>
      </c>
      <c r="E50" s="394">
        <f>F50+O50</f>
        <v>13698</v>
      </c>
      <c r="F50" s="394">
        <f>G50+J50+K50+L50+M50+N50</f>
        <v>13698</v>
      </c>
      <c r="G50" s="394">
        <f>H50+I50</f>
        <v>13698</v>
      </c>
      <c r="H50" s="370">
        <v>0</v>
      </c>
      <c r="I50" s="370">
        <v>13698</v>
      </c>
      <c r="J50" s="370">
        <v>0</v>
      </c>
      <c r="K50" s="370">
        <v>0</v>
      </c>
      <c r="L50" s="370"/>
      <c r="M50" s="370"/>
      <c r="N50" s="370"/>
      <c r="O50" s="395"/>
      <c r="P50" s="395"/>
      <c r="Q50" s="395"/>
      <c r="R50" s="370"/>
    </row>
    <row r="51" spans="1:18" ht="12.75" hidden="1">
      <c r="A51" s="319"/>
      <c r="B51" s="319"/>
      <c r="C51" s="319"/>
      <c r="D51" s="39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91"/>
      <c r="P51" s="391"/>
      <c r="Q51" s="391"/>
      <c r="R51" s="321"/>
    </row>
    <row r="52" spans="1:18" ht="12.75" hidden="1">
      <c r="A52" s="319"/>
      <c r="B52" s="319"/>
      <c r="C52" s="319"/>
      <c r="D52" s="39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91"/>
      <c r="P52" s="391"/>
      <c r="Q52" s="391"/>
      <c r="R52" s="321"/>
    </row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B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8" r:id="rId1"/>
  <headerFooter alignWithMargins="0">
    <oddHeader>&amp;R&amp;"Times New Roman,Normalny"&amp;12Załącznik Nr 21 do Uchwały  Nr III/12/2010 Rady Miejskiej w Barlinku z dnia 30 grudnia 2010</oddHeader>
    <oddFooter>&amp;C&amp;"Times New Roman,Normalny"&amp;12Strona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36"/>
  <sheetViews>
    <sheetView showGridLines="0" defaultGridColor="0" view="pageBreakPreview" zoomScaleSheetLayoutView="100" colorId="15" workbookViewId="0" topLeftCell="A13">
      <selection activeCell="R34" sqref="R34"/>
    </sheetView>
  </sheetViews>
  <sheetFormatPr defaultColWidth="9.00390625" defaultRowHeight="12.75"/>
  <cols>
    <col min="1" max="1" width="5.125" style="341" customWidth="1"/>
    <col min="2" max="2" width="6.00390625" style="341" customWidth="1"/>
    <col min="3" max="3" width="5.875" style="341" customWidth="1"/>
    <col min="4" max="4" width="47.125" style="341" customWidth="1"/>
    <col min="5" max="5" width="11.625" style="341" customWidth="1"/>
    <col min="6" max="6" width="9.375" style="341" customWidth="1"/>
    <col min="7" max="9" width="9.625" style="341" customWidth="1"/>
    <col min="10" max="10" width="6.625" style="341" customWidth="1"/>
    <col min="11" max="11" width="6.75390625" style="341" customWidth="1"/>
    <col min="12" max="12" width="6.875" style="341" customWidth="1"/>
    <col min="13" max="17" width="6.375" style="341" customWidth="1"/>
    <col min="18" max="18" width="7.25390625" style="341" customWidth="1"/>
    <col min="19" max="16384" width="9.125" style="341" customWidth="1"/>
  </cols>
  <sheetData>
    <row r="1" spans="2:18" ht="18.75" customHeight="1">
      <c r="B1" s="557" t="s">
        <v>421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</row>
    <row r="2" spans="1:18" ht="10.5" customHeight="1">
      <c r="A2" s="552" t="s">
        <v>1</v>
      </c>
      <c r="B2" s="552" t="s">
        <v>21</v>
      </c>
      <c r="C2" s="552" t="s">
        <v>22</v>
      </c>
      <c r="D2" s="552" t="s">
        <v>186</v>
      </c>
      <c r="E2" s="552" t="s">
        <v>187</v>
      </c>
      <c r="F2" s="553" t="s">
        <v>188</v>
      </c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1:18" ht="11.25" customHeight="1">
      <c r="A3" s="552"/>
      <c r="B3" s="552"/>
      <c r="C3" s="552"/>
      <c r="D3" s="552"/>
      <c r="E3" s="552"/>
      <c r="F3" s="554" t="s">
        <v>177</v>
      </c>
      <c r="G3" s="555" t="s">
        <v>25</v>
      </c>
      <c r="H3" s="555"/>
      <c r="I3" s="555"/>
      <c r="J3" s="555"/>
      <c r="K3" s="555"/>
      <c r="L3" s="555"/>
      <c r="M3" s="555"/>
      <c r="N3" s="555"/>
      <c r="O3" s="542" t="s">
        <v>189</v>
      </c>
      <c r="P3" s="555" t="s">
        <v>25</v>
      </c>
      <c r="Q3" s="555"/>
      <c r="R3" s="555"/>
    </row>
    <row r="4" spans="1:18" ht="11.25" customHeight="1">
      <c r="A4" s="552"/>
      <c r="B4" s="552"/>
      <c r="C4" s="552"/>
      <c r="D4" s="552"/>
      <c r="E4" s="552"/>
      <c r="F4" s="554"/>
      <c r="G4" s="554" t="s">
        <v>190</v>
      </c>
      <c r="H4" s="555" t="s">
        <v>191</v>
      </c>
      <c r="I4" s="555"/>
      <c r="J4" s="542" t="s">
        <v>192</v>
      </c>
      <c r="K4" s="542" t="s">
        <v>193</v>
      </c>
      <c r="L4" s="542" t="s">
        <v>200</v>
      </c>
      <c r="M4" s="542" t="s">
        <v>194</v>
      </c>
      <c r="N4" s="542" t="s">
        <v>195</v>
      </c>
      <c r="O4" s="542"/>
      <c r="P4" s="542" t="s">
        <v>196</v>
      </c>
      <c r="Q4" s="233" t="s">
        <v>25</v>
      </c>
      <c r="R4" s="542" t="s">
        <v>197</v>
      </c>
    </row>
    <row r="5" spans="1:18" ht="178.5">
      <c r="A5" s="552"/>
      <c r="B5" s="552"/>
      <c r="C5" s="552"/>
      <c r="D5" s="552"/>
      <c r="E5" s="552"/>
      <c r="F5" s="554"/>
      <c r="G5" s="554"/>
      <c r="H5" s="232" t="s">
        <v>198</v>
      </c>
      <c r="I5" s="232" t="s">
        <v>199</v>
      </c>
      <c r="J5" s="542"/>
      <c r="K5" s="542"/>
      <c r="L5" s="542"/>
      <c r="M5" s="542"/>
      <c r="N5" s="542"/>
      <c r="O5" s="542"/>
      <c r="P5" s="542"/>
      <c r="Q5" s="234" t="s">
        <v>200</v>
      </c>
      <c r="R5" s="542"/>
    </row>
    <row r="6" spans="1:18" ht="10.5" customHeight="1">
      <c r="A6" s="308">
        <v>1</v>
      </c>
      <c r="B6" s="308">
        <v>2</v>
      </c>
      <c r="C6" s="308">
        <v>3</v>
      </c>
      <c r="D6" s="308">
        <v>4</v>
      </c>
      <c r="E6" s="308">
        <v>5</v>
      </c>
      <c r="F6" s="308">
        <v>6</v>
      </c>
      <c r="G6" s="308">
        <v>7</v>
      </c>
      <c r="H6" s="308">
        <v>8</v>
      </c>
      <c r="I6" s="308">
        <v>9</v>
      </c>
      <c r="J6" s="308">
        <v>10</v>
      </c>
      <c r="K6" s="308">
        <v>11</v>
      </c>
      <c r="L6" s="308">
        <v>12</v>
      </c>
      <c r="M6" s="308">
        <v>13</v>
      </c>
      <c r="N6" s="308">
        <v>14</v>
      </c>
      <c r="O6" s="308">
        <v>15</v>
      </c>
      <c r="P6" s="308">
        <v>16</v>
      </c>
      <c r="Q6" s="308">
        <v>17</v>
      </c>
      <c r="R6" s="308">
        <v>18</v>
      </c>
    </row>
    <row r="7" spans="1:18" ht="16.5" customHeight="1">
      <c r="A7" s="360">
        <v>801</v>
      </c>
      <c r="B7" s="360"/>
      <c r="C7" s="360"/>
      <c r="D7" s="360" t="s">
        <v>115</v>
      </c>
      <c r="E7" s="392">
        <f aca="true" t="shared" si="0" ref="E7:R7">E29+E8</f>
        <v>327426</v>
      </c>
      <c r="F7" s="392">
        <f t="shared" si="0"/>
        <v>327426</v>
      </c>
      <c r="G7" s="392">
        <f t="shared" si="0"/>
        <v>326168</v>
      </c>
      <c r="H7" s="392">
        <f t="shared" si="0"/>
        <v>299665</v>
      </c>
      <c r="I7" s="392">
        <f t="shared" si="0"/>
        <v>26503</v>
      </c>
      <c r="J7" s="392">
        <f t="shared" si="0"/>
        <v>0</v>
      </c>
      <c r="K7" s="392">
        <f t="shared" si="0"/>
        <v>1258</v>
      </c>
      <c r="L7" s="392">
        <f t="shared" si="0"/>
        <v>0</v>
      </c>
      <c r="M7" s="392">
        <f t="shared" si="0"/>
        <v>0</v>
      </c>
      <c r="N7" s="392">
        <f t="shared" si="0"/>
        <v>0</v>
      </c>
      <c r="O7" s="392">
        <f t="shared" si="0"/>
        <v>0</v>
      </c>
      <c r="P7" s="392">
        <f t="shared" si="0"/>
        <v>0</v>
      </c>
      <c r="Q7" s="392">
        <f t="shared" si="0"/>
        <v>0</v>
      </c>
      <c r="R7" s="392">
        <f t="shared" si="0"/>
        <v>0</v>
      </c>
    </row>
    <row r="8" spans="1:18" ht="16.5" customHeight="1">
      <c r="A8" s="371"/>
      <c r="B8" s="371">
        <v>80110</v>
      </c>
      <c r="C8" s="371"/>
      <c r="D8" s="363" t="s">
        <v>125</v>
      </c>
      <c r="E8" s="373">
        <f>SUM(E9:E27)</f>
        <v>326746</v>
      </c>
      <c r="F8" s="373">
        <f>SUM(F9:F27)</f>
        <v>326746</v>
      </c>
      <c r="G8" s="373">
        <f>SUM(G9:G27)</f>
        <v>325488</v>
      </c>
      <c r="H8" s="373">
        <f aca="true" t="shared" si="1" ref="H8:R8">SUM(H9:H28)</f>
        <v>299665</v>
      </c>
      <c r="I8" s="373">
        <f t="shared" si="1"/>
        <v>25823</v>
      </c>
      <c r="J8" s="373">
        <f t="shared" si="1"/>
        <v>0</v>
      </c>
      <c r="K8" s="373">
        <f t="shared" si="1"/>
        <v>1258</v>
      </c>
      <c r="L8" s="373">
        <f t="shared" si="1"/>
        <v>0</v>
      </c>
      <c r="M8" s="373">
        <f t="shared" si="1"/>
        <v>0</v>
      </c>
      <c r="N8" s="373">
        <f t="shared" si="1"/>
        <v>0</v>
      </c>
      <c r="O8" s="373">
        <f t="shared" si="1"/>
        <v>0</v>
      </c>
      <c r="P8" s="373">
        <f t="shared" si="1"/>
        <v>0</v>
      </c>
      <c r="Q8" s="373">
        <f t="shared" si="1"/>
        <v>0</v>
      </c>
      <c r="R8" s="373">
        <f t="shared" si="1"/>
        <v>0</v>
      </c>
    </row>
    <row r="9" spans="1:18" ht="17.25" customHeight="1">
      <c r="A9" s="371"/>
      <c r="B9" s="371"/>
      <c r="C9" s="372">
        <v>3020</v>
      </c>
      <c r="D9" s="393" t="s">
        <v>282</v>
      </c>
      <c r="E9" s="394">
        <f aca="true" t="shared" si="2" ref="E9:E28">F9+O9</f>
        <v>1258</v>
      </c>
      <c r="F9" s="394">
        <f aca="true" t="shared" si="3" ref="F9:F28">G9+J9+K9+L9+M9+N9</f>
        <v>1258</v>
      </c>
      <c r="G9" s="394"/>
      <c r="H9" s="397"/>
      <c r="I9" s="397"/>
      <c r="J9" s="397">
        <v>0</v>
      </c>
      <c r="K9" s="397">
        <v>1258</v>
      </c>
      <c r="L9" s="370"/>
      <c r="M9" s="370"/>
      <c r="N9" s="370"/>
      <c r="O9" s="370"/>
      <c r="P9" s="395"/>
      <c r="Q9" s="395"/>
      <c r="R9" s="370"/>
    </row>
    <row r="10" spans="1:18" ht="17.25" customHeight="1">
      <c r="A10" s="372"/>
      <c r="B10" s="372"/>
      <c r="C10" s="372">
        <v>3240</v>
      </c>
      <c r="D10" s="393" t="s">
        <v>294</v>
      </c>
      <c r="E10" s="394">
        <f t="shared" si="2"/>
        <v>0</v>
      </c>
      <c r="F10" s="394">
        <f t="shared" si="3"/>
        <v>0</v>
      </c>
      <c r="G10" s="394"/>
      <c r="H10" s="397"/>
      <c r="I10" s="397"/>
      <c r="J10" s="397"/>
      <c r="K10" s="397"/>
      <c r="L10" s="370"/>
      <c r="M10" s="370"/>
      <c r="N10" s="370"/>
      <c r="O10" s="370"/>
      <c r="P10" s="395"/>
      <c r="Q10" s="395"/>
      <c r="R10" s="370"/>
    </row>
    <row r="11" spans="1:18" ht="17.25" customHeight="1">
      <c r="A11" s="372"/>
      <c r="B11" s="372"/>
      <c r="C11" s="372">
        <v>4010</v>
      </c>
      <c r="D11" s="393" t="s">
        <v>265</v>
      </c>
      <c r="E11" s="394">
        <f t="shared" si="2"/>
        <v>233113</v>
      </c>
      <c r="F11" s="394">
        <f t="shared" si="3"/>
        <v>233113</v>
      </c>
      <c r="G11" s="394">
        <f aca="true" t="shared" si="4" ref="G11:G28">H11+I11</f>
        <v>233113</v>
      </c>
      <c r="H11" s="397">
        <f>(178724+16199+2840+4200+10310)+(19125+750+965)</f>
        <v>233113</v>
      </c>
      <c r="I11" s="397"/>
      <c r="J11" s="397"/>
      <c r="K11" s="397"/>
      <c r="L11" s="370"/>
      <c r="M11" s="370"/>
      <c r="N11" s="370"/>
      <c r="O11" s="370"/>
      <c r="P11" s="395"/>
      <c r="Q11" s="395"/>
      <c r="R11" s="370"/>
    </row>
    <row r="12" spans="1:18" ht="17.25" customHeight="1">
      <c r="A12" s="372"/>
      <c r="B12" s="372"/>
      <c r="C12" s="372">
        <v>4040</v>
      </c>
      <c r="D12" s="393" t="s">
        <v>283</v>
      </c>
      <c r="E12" s="394">
        <f t="shared" si="2"/>
        <v>20090</v>
      </c>
      <c r="F12" s="394">
        <f t="shared" si="3"/>
        <v>20090</v>
      </c>
      <c r="G12" s="394">
        <f t="shared" si="4"/>
        <v>20090</v>
      </c>
      <c r="H12" s="397">
        <v>20090</v>
      </c>
      <c r="I12" s="397"/>
      <c r="J12" s="397"/>
      <c r="K12" s="397"/>
      <c r="L12" s="370"/>
      <c r="M12" s="370"/>
      <c r="N12" s="370"/>
      <c r="O12" s="370"/>
      <c r="P12" s="395"/>
      <c r="Q12" s="395"/>
      <c r="R12" s="370"/>
    </row>
    <row r="13" spans="1:18" ht="17.25" customHeight="1">
      <c r="A13" s="372"/>
      <c r="B13" s="372"/>
      <c r="C13" s="372">
        <v>4110</v>
      </c>
      <c r="D13" s="393" t="s">
        <v>284</v>
      </c>
      <c r="E13" s="394">
        <f t="shared" si="2"/>
        <v>40259</v>
      </c>
      <c r="F13" s="394">
        <f t="shared" si="3"/>
        <v>40259</v>
      </c>
      <c r="G13" s="394">
        <f t="shared" si="4"/>
        <v>40259</v>
      </c>
      <c r="H13" s="394">
        <v>40259</v>
      </c>
      <c r="I13" s="397"/>
      <c r="J13" s="397"/>
      <c r="K13" s="397"/>
      <c r="L13" s="370"/>
      <c r="M13" s="370"/>
      <c r="N13" s="370"/>
      <c r="O13" s="370"/>
      <c r="P13" s="395"/>
      <c r="Q13" s="395"/>
      <c r="R13" s="370"/>
    </row>
    <row r="14" spans="1:18" ht="17.25" customHeight="1">
      <c r="A14" s="372"/>
      <c r="B14" s="372"/>
      <c r="C14" s="372">
        <v>4120</v>
      </c>
      <c r="D14" s="393" t="s">
        <v>285</v>
      </c>
      <c r="E14" s="394">
        <f t="shared" si="2"/>
        <v>6203</v>
      </c>
      <c r="F14" s="394">
        <f t="shared" si="3"/>
        <v>6203</v>
      </c>
      <c r="G14" s="394">
        <f t="shared" si="4"/>
        <v>6203</v>
      </c>
      <c r="H14" s="394">
        <v>6203</v>
      </c>
      <c r="I14" s="397"/>
      <c r="J14" s="397"/>
      <c r="K14" s="397"/>
      <c r="L14" s="370"/>
      <c r="M14" s="370"/>
      <c r="N14" s="370"/>
      <c r="O14" s="370"/>
      <c r="P14" s="395"/>
      <c r="Q14" s="395"/>
      <c r="R14" s="370"/>
    </row>
    <row r="15" spans="1:18" ht="17.25" customHeight="1">
      <c r="A15" s="372"/>
      <c r="B15" s="372"/>
      <c r="C15" s="372">
        <v>4170</v>
      </c>
      <c r="D15" s="393" t="s">
        <v>413</v>
      </c>
      <c r="E15" s="394">
        <f t="shared" si="2"/>
        <v>0</v>
      </c>
      <c r="F15" s="394">
        <f t="shared" si="3"/>
        <v>0</v>
      </c>
      <c r="G15" s="394">
        <f t="shared" si="4"/>
        <v>0</v>
      </c>
      <c r="H15" s="397"/>
      <c r="I15" s="397"/>
      <c r="J15" s="397"/>
      <c r="K15" s="397"/>
      <c r="L15" s="370"/>
      <c r="M15" s="370"/>
      <c r="N15" s="370"/>
      <c r="O15" s="370"/>
      <c r="P15" s="395"/>
      <c r="Q15" s="395"/>
      <c r="R15" s="370"/>
    </row>
    <row r="16" spans="1:18" ht="17.25" customHeight="1">
      <c r="A16" s="372"/>
      <c r="B16" s="372"/>
      <c r="C16" s="372">
        <v>4210</v>
      </c>
      <c r="D16" s="393" t="s">
        <v>276</v>
      </c>
      <c r="E16" s="394">
        <f t="shared" si="2"/>
        <v>5000</v>
      </c>
      <c r="F16" s="394">
        <f t="shared" si="3"/>
        <v>5000</v>
      </c>
      <c r="G16" s="394">
        <f t="shared" si="4"/>
        <v>5000</v>
      </c>
      <c r="H16" s="397"/>
      <c r="I16" s="397">
        <v>5000</v>
      </c>
      <c r="J16" s="397"/>
      <c r="K16" s="397"/>
      <c r="L16" s="370"/>
      <c r="M16" s="370"/>
      <c r="N16" s="370"/>
      <c r="O16" s="370"/>
      <c r="P16" s="395"/>
      <c r="Q16" s="395"/>
      <c r="R16" s="370"/>
    </row>
    <row r="17" spans="1:18" ht="17.25" customHeight="1">
      <c r="A17" s="372"/>
      <c r="B17" s="372"/>
      <c r="C17" s="372">
        <v>4240</v>
      </c>
      <c r="D17" s="393" t="s">
        <v>277</v>
      </c>
      <c r="E17" s="394">
        <f t="shared" si="2"/>
        <v>100</v>
      </c>
      <c r="F17" s="394">
        <f t="shared" si="3"/>
        <v>100</v>
      </c>
      <c r="G17" s="394">
        <f t="shared" si="4"/>
        <v>100</v>
      </c>
      <c r="H17" s="397"/>
      <c r="I17" s="397">
        <v>100</v>
      </c>
      <c r="J17" s="397"/>
      <c r="K17" s="397"/>
      <c r="L17" s="370"/>
      <c r="M17" s="370"/>
      <c r="N17" s="370"/>
      <c r="O17" s="370"/>
      <c r="P17" s="395"/>
      <c r="Q17" s="395"/>
      <c r="R17" s="370"/>
    </row>
    <row r="18" spans="1:18" ht="17.25" customHeight="1">
      <c r="A18" s="372"/>
      <c r="B18" s="372"/>
      <c r="C18" s="372">
        <v>4260</v>
      </c>
      <c r="D18" s="393" t="s">
        <v>286</v>
      </c>
      <c r="E18" s="394">
        <f t="shared" si="2"/>
        <v>0</v>
      </c>
      <c r="F18" s="394">
        <f t="shared" si="3"/>
        <v>0</v>
      </c>
      <c r="G18" s="394">
        <f t="shared" si="4"/>
        <v>0</v>
      </c>
      <c r="H18" s="397"/>
      <c r="I18" s="397"/>
      <c r="J18" s="397"/>
      <c r="K18" s="397"/>
      <c r="L18" s="370"/>
      <c r="M18" s="370"/>
      <c r="N18" s="370"/>
      <c r="O18" s="370"/>
      <c r="P18" s="395"/>
      <c r="Q18" s="395"/>
      <c r="R18" s="370"/>
    </row>
    <row r="19" spans="1:18" ht="17.25" customHeight="1">
      <c r="A19" s="372"/>
      <c r="B19" s="372"/>
      <c r="C19" s="372">
        <v>4270</v>
      </c>
      <c r="D19" s="393" t="s">
        <v>231</v>
      </c>
      <c r="E19" s="394">
        <f t="shared" si="2"/>
        <v>0</v>
      </c>
      <c r="F19" s="394">
        <f t="shared" si="3"/>
        <v>0</v>
      </c>
      <c r="G19" s="394">
        <f t="shared" si="4"/>
        <v>0</v>
      </c>
      <c r="H19" s="397"/>
      <c r="I19" s="397"/>
      <c r="J19" s="397"/>
      <c r="K19" s="397"/>
      <c r="L19" s="370"/>
      <c r="M19" s="370"/>
      <c r="N19" s="370"/>
      <c r="O19" s="370"/>
      <c r="P19" s="395"/>
      <c r="Q19" s="395"/>
      <c r="R19" s="370"/>
    </row>
    <row r="20" spans="1:18" ht="17.25" customHeight="1">
      <c r="A20" s="372"/>
      <c r="B20" s="372"/>
      <c r="C20" s="372">
        <v>4280</v>
      </c>
      <c r="D20" s="393" t="s">
        <v>278</v>
      </c>
      <c r="E20" s="394">
        <f t="shared" si="2"/>
        <v>700</v>
      </c>
      <c r="F20" s="394">
        <f t="shared" si="3"/>
        <v>700</v>
      </c>
      <c r="G20" s="394">
        <f t="shared" si="4"/>
        <v>700</v>
      </c>
      <c r="H20" s="397"/>
      <c r="I20" s="397">
        <v>700</v>
      </c>
      <c r="J20" s="397"/>
      <c r="K20" s="397"/>
      <c r="L20" s="370"/>
      <c r="M20" s="370"/>
      <c r="N20" s="370"/>
      <c r="O20" s="370"/>
      <c r="P20" s="395"/>
      <c r="Q20" s="395"/>
      <c r="R20" s="370"/>
    </row>
    <row r="21" spans="1:18" ht="17.25" customHeight="1">
      <c r="A21" s="372"/>
      <c r="B21" s="372"/>
      <c r="C21" s="372">
        <v>4300</v>
      </c>
      <c r="D21" s="393" t="s">
        <v>287</v>
      </c>
      <c r="E21" s="394">
        <f t="shared" si="2"/>
        <v>1000</v>
      </c>
      <c r="F21" s="394">
        <f t="shared" si="3"/>
        <v>1000</v>
      </c>
      <c r="G21" s="394">
        <f t="shared" si="4"/>
        <v>1000</v>
      </c>
      <c r="H21" s="397"/>
      <c r="I21" s="397">
        <v>1000</v>
      </c>
      <c r="J21" s="397"/>
      <c r="K21" s="397"/>
      <c r="L21" s="370"/>
      <c r="M21" s="370"/>
      <c r="N21" s="370"/>
      <c r="O21" s="370"/>
      <c r="P21" s="395"/>
      <c r="Q21" s="395"/>
      <c r="R21" s="370"/>
    </row>
    <row r="22" spans="1:18" ht="17.25" customHeight="1">
      <c r="A22" s="372"/>
      <c r="B22" s="372"/>
      <c r="C22" s="372">
        <v>4350</v>
      </c>
      <c r="D22" s="393" t="s">
        <v>288</v>
      </c>
      <c r="E22" s="394">
        <f t="shared" si="2"/>
        <v>0</v>
      </c>
      <c r="F22" s="394">
        <f t="shared" si="3"/>
        <v>0</v>
      </c>
      <c r="G22" s="394">
        <f t="shared" si="4"/>
        <v>0</v>
      </c>
      <c r="H22" s="397"/>
      <c r="I22" s="397"/>
      <c r="J22" s="397"/>
      <c r="K22" s="397"/>
      <c r="L22" s="370"/>
      <c r="M22" s="370"/>
      <c r="N22" s="370"/>
      <c r="O22" s="370"/>
      <c r="P22" s="395"/>
      <c r="Q22" s="395"/>
      <c r="R22" s="370"/>
    </row>
    <row r="23" spans="1:18" ht="17.25" customHeight="1">
      <c r="A23" s="372"/>
      <c r="B23" s="372"/>
      <c r="C23" s="372">
        <v>4370</v>
      </c>
      <c r="D23" s="393" t="s">
        <v>289</v>
      </c>
      <c r="E23" s="394">
        <f t="shared" si="2"/>
        <v>500</v>
      </c>
      <c r="F23" s="394">
        <f t="shared" si="3"/>
        <v>500</v>
      </c>
      <c r="G23" s="394">
        <f t="shared" si="4"/>
        <v>500</v>
      </c>
      <c r="H23" s="397"/>
      <c r="I23" s="397">
        <v>500</v>
      </c>
      <c r="J23" s="397"/>
      <c r="K23" s="397"/>
      <c r="L23" s="370"/>
      <c r="M23" s="370"/>
      <c r="N23" s="370"/>
      <c r="O23" s="370"/>
      <c r="P23" s="395"/>
      <c r="Q23" s="395"/>
      <c r="R23" s="370"/>
    </row>
    <row r="24" spans="1:18" ht="17.25" customHeight="1">
      <c r="A24" s="372"/>
      <c r="B24" s="372"/>
      <c r="C24" s="372">
        <v>4410</v>
      </c>
      <c r="D24" s="393" t="s">
        <v>290</v>
      </c>
      <c r="E24" s="394">
        <f t="shared" si="2"/>
        <v>400</v>
      </c>
      <c r="F24" s="394">
        <f t="shared" si="3"/>
        <v>400</v>
      </c>
      <c r="G24" s="394">
        <f t="shared" si="4"/>
        <v>400</v>
      </c>
      <c r="H24" s="397"/>
      <c r="I24" s="397">
        <v>400</v>
      </c>
      <c r="J24" s="397"/>
      <c r="K24" s="397"/>
      <c r="L24" s="370"/>
      <c r="M24" s="370"/>
      <c r="N24" s="370"/>
      <c r="O24" s="370"/>
      <c r="P24" s="395"/>
      <c r="Q24" s="395"/>
      <c r="R24" s="370"/>
    </row>
    <row r="25" spans="1:18" ht="17.25" customHeight="1">
      <c r="A25" s="372"/>
      <c r="B25" s="372"/>
      <c r="C25" s="372">
        <v>4430</v>
      </c>
      <c r="D25" s="393" t="s">
        <v>291</v>
      </c>
      <c r="E25" s="394">
        <f t="shared" si="2"/>
        <v>0</v>
      </c>
      <c r="F25" s="394">
        <f t="shared" si="3"/>
        <v>0</v>
      </c>
      <c r="G25" s="394">
        <f t="shared" si="4"/>
        <v>0</v>
      </c>
      <c r="H25" s="394"/>
      <c r="I25" s="397">
        <v>0</v>
      </c>
      <c r="J25" s="394"/>
      <c r="K25" s="394"/>
      <c r="L25" s="370"/>
      <c r="M25" s="370"/>
      <c r="N25" s="370"/>
      <c r="O25" s="370"/>
      <c r="P25" s="395"/>
      <c r="Q25" s="395"/>
      <c r="R25" s="370"/>
    </row>
    <row r="26" spans="1:18" ht="17.25" customHeight="1">
      <c r="A26" s="372"/>
      <c r="B26" s="372"/>
      <c r="C26" s="372">
        <v>4440</v>
      </c>
      <c r="D26" s="393" t="s">
        <v>240</v>
      </c>
      <c r="E26" s="394">
        <f t="shared" si="2"/>
        <v>18123</v>
      </c>
      <c r="F26" s="394">
        <f t="shared" si="3"/>
        <v>18123</v>
      </c>
      <c r="G26" s="394">
        <f t="shared" si="4"/>
        <v>18123</v>
      </c>
      <c r="H26" s="397"/>
      <c r="I26" s="397">
        <v>18123</v>
      </c>
      <c r="J26" s="397"/>
      <c r="K26" s="397"/>
      <c r="L26" s="370"/>
      <c r="M26" s="370"/>
      <c r="N26" s="370"/>
      <c r="O26" s="370"/>
      <c r="P26" s="395"/>
      <c r="Q26" s="395"/>
      <c r="R26" s="370"/>
    </row>
    <row r="27" spans="1:18" ht="27" customHeight="1">
      <c r="A27" s="372"/>
      <c r="B27" s="372"/>
      <c r="C27" s="372">
        <v>4700</v>
      </c>
      <c r="D27" s="367" t="s">
        <v>292</v>
      </c>
      <c r="E27" s="394">
        <f t="shared" si="2"/>
        <v>0</v>
      </c>
      <c r="F27" s="394">
        <f t="shared" si="3"/>
        <v>0</v>
      </c>
      <c r="G27" s="394">
        <f t="shared" si="4"/>
        <v>0</v>
      </c>
      <c r="H27" s="370"/>
      <c r="I27" s="370">
        <v>0</v>
      </c>
      <c r="J27" s="370"/>
      <c r="K27" s="370"/>
      <c r="L27" s="370"/>
      <c r="M27" s="370"/>
      <c r="N27" s="370"/>
      <c r="O27" s="370"/>
      <c r="P27" s="395"/>
      <c r="Q27" s="395"/>
      <c r="R27" s="370"/>
    </row>
    <row r="28" spans="1:18" ht="17.25" customHeight="1">
      <c r="A28" s="372"/>
      <c r="B28" s="372"/>
      <c r="C28" s="372">
        <v>6050</v>
      </c>
      <c r="D28" s="393" t="s">
        <v>375</v>
      </c>
      <c r="E28" s="394">
        <f t="shared" si="2"/>
        <v>0</v>
      </c>
      <c r="F28" s="394">
        <f t="shared" si="3"/>
        <v>0</v>
      </c>
      <c r="G28" s="394">
        <f t="shared" si="4"/>
        <v>0</v>
      </c>
      <c r="H28" s="370"/>
      <c r="I28" s="370"/>
      <c r="J28" s="370"/>
      <c r="K28" s="370"/>
      <c r="L28" s="370"/>
      <c r="M28" s="370"/>
      <c r="N28" s="370"/>
      <c r="O28" s="370"/>
      <c r="P28" s="395"/>
      <c r="Q28" s="395"/>
      <c r="R28" s="370"/>
    </row>
    <row r="29" spans="1:18" ht="16.5" customHeight="1">
      <c r="A29" s="363"/>
      <c r="B29" s="371">
        <v>80146</v>
      </c>
      <c r="C29" s="372"/>
      <c r="D29" s="363" t="s">
        <v>299</v>
      </c>
      <c r="E29" s="373">
        <f aca="true" t="shared" si="5" ref="E29:R29">SUM(E30:E34)</f>
        <v>680</v>
      </c>
      <c r="F29" s="373">
        <f t="shared" si="5"/>
        <v>680</v>
      </c>
      <c r="G29" s="373">
        <f t="shared" si="5"/>
        <v>680</v>
      </c>
      <c r="H29" s="373">
        <f t="shared" si="5"/>
        <v>0</v>
      </c>
      <c r="I29" s="373">
        <f t="shared" si="5"/>
        <v>680</v>
      </c>
      <c r="J29" s="373">
        <f t="shared" si="5"/>
        <v>0</v>
      </c>
      <c r="K29" s="373">
        <f t="shared" si="5"/>
        <v>0</v>
      </c>
      <c r="L29" s="373">
        <f t="shared" si="5"/>
        <v>0</v>
      </c>
      <c r="M29" s="373">
        <f t="shared" si="5"/>
        <v>0</v>
      </c>
      <c r="N29" s="373">
        <f t="shared" si="5"/>
        <v>0</v>
      </c>
      <c r="O29" s="373">
        <f t="shared" si="5"/>
        <v>0</v>
      </c>
      <c r="P29" s="373">
        <f t="shared" si="5"/>
        <v>0</v>
      </c>
      <c r="Q29" s="373">
        <f t="shared" si="5"/>
        <v>0</v>
      </c>
      <c r="R29" s="373">
        <f t="shared" si="5"/>
        <v>0</v>
      </c>
    </row>
    <row r="30" spans="1:18" ht="17.25" customHeight="1">
      <c r="A30" s="371"/>
      <c r="B30" s="371"/>
      <c r="C30" s="372">
        <v>4210</v>
      </c>
      <c r="D30" s="393" t="s">
        <v>276</v>
      </c>
      <c r="E30" s="394">
        <f>F30+O30</f>
        <v>0</v>
      </c>
      <c r="F30" s="394">
        <f>G30+J30+K30+L30+M30+N30</f>
        <v>0</v>
      </c>
      <c r="G30" s="394">
        <f>H30+I30</f>
        <v>0</v>
      </c>
      <c r="H30" s="370"/>
      <c r="I30" s="397">
        <v>0</v>
      </c>
      <c r="J30" s="370"/>
      <c r="K30" s="370"/>
      <c r="L30" s="370"/>
      <c r="M30" s="370"/>
      <c r="N30" s="370"/>
      <c r="O30" s="370"/>
      <c r="P30" s="395"/>
      <c r="Q30" s="395"/>
      <c r="R30" s="370"/>
    </row>
    <row r="31" spans="1:18" ht="17.25" customHeight="1">
      <c r="A31" s="371"/>
      <c r="B31" s="371"/>
      <c r="C31" s="372">
        <v>4240</v>
      </c>
      <c r="D31" s="393" t="s">
        <v>277</v>
      </c>
      <c r="E31" s="394">
        <f>F31+O31</f>
        <v>0</v>
      </c>
      <c r="F31" s="394">
        <f>G31+J31+K31+L31+M31+N31</f>
        <v>0</v>
      </c>
      <c r="G31" s="394">
        <f>H31+I31</f>
        <v>0</v>
      </c>
      <c r="H31" s="397"/>
      <c r="I31" s="397"/>
      <c r="J31" s="370"/>
      <c r="K31" s="370"/>
      <c r="L31" s="370"/>
      <c r="M31" s="370"/>
      <c r="N31" s="370"/>
      <c r="O31" s="370"/>
      <c r="P31" s="395"/>
      <c r="Q31" s="395"/>
      <c r="R31" s="370"/>
    </row>
    <row r="32" spans="1:18" ht="17.25" customHeight="1">
      <c r="A32" s="372"/>
      <c r="B32" s="372"/>
      <c r="C32" s="372">
        <v>4300</v>
      </c>
      <c r="D32" s="393" t="s">
        <v>287</v>
      </c>
      <c r="E32" s="394">
        <f>F32+O32</f>
        <v>270</v>
      </c>
      <c r="F32" s="394">
        <f>G32+J32+K32+L32+M32+N32</f>
        <v>270</v>
      </c>
      <c r="G32" s="394">
        <f>H32+I32</f>
        <v>270</v>
      </c>
      <c r="H32" s="370"/>
      <c r="I32" s="397">
        <v>270</v>
      </c>
      <c r="J32" s="370"/>
      <c r="K32" s="370"/>
      <c r="L32" s="370"/>
      <c r="M32" s="370"/>
      <c r="N32" s="370"/>
      <c r="O32" s="370"/>
      <c r="P32" s="395"/>
      <c r="Q32" s="395"/>
      <c r="R32" s="370"/>
    </row>
    <row r="33" spans="1:18" ht="17.25" customHeight="1">
      <c r="A33" s="372"/>
      <c r="B33" s="372"/>
      <c r="C33" s="372">
        <v>4410</v>
      </c>
      <c r="D33" s="393" t="s">
        <v>290</v>
      </c>
      <c r="E33" s="394">
        <f>F33+O33</f>
        <v>210</v>
      </c>
      <c r="F33" s="394">
        <f>G33+J33+K33+L33+M33+N33</f>
        <v>210</v>
      </c>
      <c r="G33" s="394">
        <f>H33+I33</f>
        <v>210</v>
      </c>
      <c r="H33" s="370"/>
      <c r="I33" s="397">
        <v>210</v>
      </c>
      <c r="J33" s="370"/>
      <c r="K33" s="370"/>
      <c r="L33" s="370"/>
      <c r="M33" s="370"/>
      <c r="N33" s="370"/>
      <c r="O33" s="370"/>
      <c r="P33" s="395"/>
      <c r="Q33" s="395"/>
      <c r="R33" s="370"/>
    </row>
    <row r="34" spans="1:18" ht="27" customHeight="1">
      <c r="A34" s="372"/>
      <c r="B34" s="372"/>
      <c r="C34" s="372">
        <v>4700</v>
      </c>
      <c r="D34" s="367" t="s">
        <v>292</v>
      </c>
      <c r="E34" s="394">
        <f>F34+O34</f>
        <v>200</v>
      </c>
      <c r="F34" s="394">
        <f>G34+J34+K34+L34+M34+N34</f>
        <v>200</v>
      </c>
      <c r="G34" s="394">
        <f>H34+I34</f>
        <v>200</v>
      </c>
      <c r="H34" s="370"/>
      <c r="I34" s="397">
        <v>200</v>
      </c>
      <c r="J34" s="370"/>
      <c r="K34" s="370"/>
      <c r="L34" s="370"/>
      <c r="M34" s="370"/>
      <c r="N34" s="370"/>
      <c r="O34" s="370"/>
      <c r="P34" s="395"/>
      <c r="Q34" s="395"/>
      <c r="R34" s="370"/>
    </row>
    <row r="35" spans="1:18" ht="12.75" hidden="1">
      <c r="A35" s="319"/>
      <c r="B35" s="319"/>
      <c r="C35" s="319"/>
      <c r="D35" s="390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91"/>
      <c r="P35" s="391"/>
      <c r="Q35" s="391"/>
      <c r="R35" s="321"/>
    </row>
    <row r="36" spans="1:18" ht="12.75" hidden="1">
      <c r="A36" s="319"/>
      <c r="B36" s="319"/>
      <c r="C36" s="319"/>
      <c r="D36" s="39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91"/>
      <c r="P36" s="391"/>
      <c r="Q36" s="391"/>
      <c r="R36" s="321"/>
    </row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B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8" r:id="rId1"/>
  <headerFooter alignWithMargins="0">
    <oddHeader>&amp;R&amp;"Times New Roman,Normalny"&amp;12Załącznik Nr 22 do Uchwały  Nr III/12/2010 Rady Miejskiej w Barlinku z dnia 30 grudnia 2010</oddHeader>
    <oddFooter>&amp;C&amp;"Times New Roman,Normalny"&amp;12Strona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V9"/>
  <sheetViews>
    <sheetView showGridLines="0" defaultGridColor="0" view="pageBreakPreview" zoomScaleSheetLayoutView="100" colorId="15" workbookViewId="0" topLeftCell="A1">
      <selection activeCell="F32" sqref="F32"/>
    </sheetView>
  </sheetViews>
  <sheetFormatPr defaultColWidth="9.00390625" defaultRowHeight="12.75"/>
  <cols>
    <col min="1" max="1" width="6.75390625" style="401" customWidth="1"/>
    <col min="2" max="2" width="9.25390625" style="402" customWidth="1"/>
    <col min="3" max="3" width="8.75390625" style="402" customWidth="1"/>
    <col min="4" max="4" width="51.75390625" style="403" customWidth="1"/>
    <col min="5" max="5" width="12.75390625" style="403" customWidth="1"/>
    <col min="6" max="251" width="11.625" style="404" customWidth="1"/>
    <col min="252" max="16384" width="11.625" style="405" customWidth="1"/>
  </cols>
  <sheetData>
    <row r="1" spans="1:5" ht="35.25" customHeight="1">
      <c r="A1" s="545" t="s">
        <v>422</v>
      </c>
      <c r="B1" s="545"/>
      <c r="C1" s="545"/>
      <c r="D1" s="545"/>
      <c r="E1" s="545"/>
    </row>
    <row r="2" spans="1:5" ht="15" customHeight="1">
      <c r="A2" s="558"/>
      <c r="B2" s="558"/>
      <c r="C2" s="558"/>
      <c r="D2" s="558"/>
      <c r="E2" s="558"/>
    </row>
    <row r="3" spans="1:6" ht="12" customHeight="1">
      <c r="A3" s="406"/>
      <c r="B3" s="406"/>
      <c r="C3" s="406"/>
      <c r="D3" s="406"/>
      <c r="E3" s="407"/>
      <c r="F3" s="408"/>
    </row>
    <row r="4" spans="1:253" s="124" customFormat="1" ht="39.75" customHeight="1">
      <c r="A4" s="409" t="s">
        <v>1</v>
      </c>
      <c r="B4" s="19" t="s">
        <v>21</v>
      </c>
      <c r="C4" s="19" t="s">
        <v>22</v>
      </c>
      <c r="D4" s="410" t="s">
        <v>423</v>
      </c>
      <c r="E4" s="410" t="s">
        <v>24</v>
      </c>
      <c r="IR4" s="411"/>
      <c r="IS4" s="411"/>
    </row>
    <row r="5" spans="1:6" ht="15.75">
      <c r="A5" s="412" t="s">
        <v>17</v>
      </c>
      <c r="B5" s="413"/>
      <c r="C5" s="413"/>
      <c r="D5" s="88" t="s">
        <v>424</v>
      </c>
      <c r="E5" s="414">
        <f>E6</f>
        <v>1300000</v>
      </c>
      <c r="F5" s="415"/>
    </row>
    <row r="6" spans="1:6" ht="15.75">
      <c r="A6" s="416"/>
      <c r="B6" s="417">
        <v>92109</v>
      </c>
      <c r="C6" s="418"/>
      <c r="D6" s="419" t="s">
        <v>156</v>
      </c>
      <c r="E6" s="420">
        <f>E7</f>
        <v>1300000</v>
      </c>
      <c r="F6" s="415"/>
    </row>
    <row r="7" spans="1:5" ht="39.75" customHeight="1">
      <c r="A7" s="416"/>
      <c r="B7" s="418"/>
      <c r="C7" s="421">
        <v>2480</v>
      </c>
      <c r="D7" s="422" t="s">
        <v>338</v>
      </c>
      <c r="E7" s="293">
        <f>E8</f>
        <v>1300000</v>
      </c>
    </row>
    <row r="8" spans="1:256" ht="15.75">
      <c r="A8" s="416"/>
      <c r="B8" s="418"/>
      <c r="C8" s="421"/>
      <c r="D8" s="422" t="s">
        <v>425</v>
      </c>
      <c r="E8" s="293">
        <f>1200000+100000</f>
        <v>1300000</v>
      </c>
      <c r="IR8" s="423"/>
      <c r="IS8" s="423"/>
      <c r="IT8" s="423"/>
      <c r="IU8" s="423"/>
      <c r="IV8" s="423"/>
    </row>
    <row r="9" spans="1:253" s="425" customFormat="1" ht="16.5" customHeight="1">
      <c r="A9" s="548" t="s">
        <v>19</v>
      </c>
      <c r="B9" s="548"/>
      <c r="C9" s="548"/>
      <c r="D9" s="548"/>
      <c r="E9" s="424">
        <f>E5</f>
        <v>1300000</v>
      </c>
      <c r="IR9" s="426"/>
      <c r="IS9" s="426"/>
    </row>
  </sheetData>
  <sheetProtection selectLockedCells="1" selectUnlockedCells="1"/>
  <mergeCells count="3">
    <mergeCell ref="A1:E1"/>
    <mergeCell ref="A2:E2"/>
    <mergeCell ref="A9:D9"/>
  </mergeCells>
  <printOptions/>
  <pageMargins left="0.5902777777777778" right="0.5902777777777778" top="0.9534722222222223" bottom="0.7569444444444444" header="0.5902777777777778" footer="0.5902777777777778"/>
  <pageSetup horizontalDpi="300" verticalDpi="300" orientation="portrait" paperSize="9" r:id="rId1"/>
  <headerFooter alignWithMargins="0">
    <oddHeader>&amp;R&amp;"Times New Roman,Normalny"&amp;12Załącznik Nr  23 do Uchwały  Nr III/12/2010 Rady Miejskiej w Barlinku z dnia 30 grudnia 2010</oddHeader>
    <oddFooter>&amp;C&amp;"Times New Roman,Normalny"&amp;12Strona &amp;P z &amp;N</oddFooter>
  </headerFooter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2"/>
  <sheetViews>
    <sheetView showGridLines="0" defaultGridColor="0" view="pageBreakPreview" zoomScaleSheetLayoutView="100" colorId="15" workbookViewId="0" topLeftCell="A1">
      <selection activeCell="M7" sqref="M7"/>
    </sheetView>
  </sheetViews>
  <sheetFormatPr defaultColWidth="9.00390625" defaultRowHeight="12.75"/>
  <cols>
    <col min="1" max="1" width="6.75390625" style="401" customWidth="1"/>
    <col min="2" max="2" width="9.25390625" style="402" customWidth="1"/>
    <col min="3" max="3" width="8.75390625" style="402" customWidth="1"/>
    <col min="4" max="4" width="45.75390625" style="403" customWidth="1"/>
    <col min="5" max="5" width="18.625" style="403" customWidth="1"/>
    <col min="6" max="251" width="11.625" style="404" customWidth="1"/>
    <col min="252" max="16384" width="11.625" style="405" customWidth="1"/>
  </cols>
  <sheetData>
    <row r="1" spans="1:5" ht="29.25" customHeight="1">
      <c r="A1" s="559" t="s">
        <v>426</v>
      </c>
      <c r="B1" s="559"/>
      <c r="C1" s="559"/>
      <c r="D1" s="559"/>
      <c r="E1" s="559"/>
    </row>
    <row r="2" spans="1:5" ht="15" customHeight="1">
      <c r="A2" s="558"/>
      <c r="B2" s="558"/>
      <c r="C2" s="558"/>
      <c r="D2" s="558"/>
      <c r="E2" s="558"/>
    </row>
    <row r="3" spans="1:253" s="124" customFormat="1" ht="39.75" customHeight="1">
      <c r="A3" s="409" t="s">
        <v>1</v>
      </c>
      <c r="B3" s="19" t="s">
        <v>21</v>
      </c>
      <c r="C3" s="19" t="s">
        <v>22</v>
      </c>
      <c r="D3" s="410" t="s">
        <v>423</v>
      </c>
      <c r="E3" s="410" t="s">
        <v>187</v>
      </c>
      <c r="IR3" s="411"/>
      <c r="IS3" s="411"/>
    </row>
    <row r="4" spans="1:253" s="429" customFormat="1" ht="18" customHeight="1">
      <c r="A4" s="427" t="s">
        <v>14</v>
      </c>
      <c r="B4" s="26"/>
      <c r="C4" s="26"/>
      <c r="D4" s="428" t="s">
        <v>427</v>
      </c>
      <c r="E4" s="35">
        <f>E5</f>
        <v>1657776</v>
      </c>
      <c r="IR4" s="280"/>
      <c r="IS4" s="280"/>
    </row>
    <row r="5" spans="1:253" s="429" customFormat="1" ht="18.75" customHeight="1">
      <c r="A5" s="430"/>
      <c r="B5" s="431">
        <v>80104</v>
      </c>
      <c r="C5" s="431"/>
      <c r="D5" s="432" t="s">
        <v>121</v>
      </c>
      <c r="E5" s="433">
        <f>SUM(E6)</f>
        <v>1657776</v>
      </c>
      <c r="IR5" s="280"/>
      <c r="IS5" s="280"/>
    </row>
    <row r="6" spans="1:253" s="429" customFormat="1" ht="32.25" customHeight="1">
      <c r="A6" s="430"/>
      <c r="B6" s="434"/>
      <c r="C6" s="434">
        <v>2540</v>
      </c>
      <c r="D6" s="435" t="s">
        <v>428</v>
      </c>
      <c r="E6" s="436">
        <f>SUM(E7:E11)</f>
        <v>1657776</v>
      </c>
      <c r="IR6" s="280"/>
      <c r="IS6" s="280"/>
    </row>
    <row r="7" spans="1:253" s="429" customFormat="1" ht="18.75" customHeight="1">
      <c r="A7" s="430"/>
      <c r="B7" s="434"/>
      <c r="C7" s="434"/>
      <c r="D7" s="435" t="s">
        <v>429</v>
      </c>
      <c r="E7" s="436">
        <f>12*15*(0.4*736)</f>
        <v>52992.00000000001</v>
      </c>
      <c r="IR7" s="280"/>
      <c r="IS7" s="280"/>
    </row>
    <row r="8" spans="1:253" s="429" customFormat="1" ht="18.75" customHeight="1">
      <c r="A8" s="430"/>
      <c r="B8" s="434"/>
      <c r="C8" s="434" t="s">
        <v>430</v>
      </c>
      <c r="D8" s="435" t="s">
        <v>431</v>
      </c>
      <c r="E8" s="436">
        <f>12*15*(0.4*736)</f>
        <v>52992.00000000001</v>
      </c>
      <c r="IR8" s="280"/>
      <c r="IS8" s="280"/>
    </row>
    <row r="9" spans="1:253" s="429" customFormat="1" ht="18.75" customHeight="1">
      <c r="A9" s="430"/>
      <c r="B9" s="434"/>
      <c r="C9" s="434"/>
      <c r="D9" s="435" t="s">
        <v>432</v>
      </c>
      <c r="E9" s="436">
        <f>4100*17*12</f>
        <v>836400</v>
      </c>
      <c r="IR9" s="280"/>
      <c r="IS9" s="280"/>
    </row>
    <row r="10" spans="1:253" s="429" customFormat="1" ht="18.75" customHeight="1">
      <c r="A10" s="430"/>
      <c r="B10" s="431"/>
      <c r="C10" s="434"/>
      <c r="D10" s="435" t="s">
        <v>433</v>
      </c>
      <c r="E10" s="436">
        <f>12*60*(0.75*736)</f>
        <v>397440</v>
      </c>
      <c r="IR10" s="280"/>
      <c r="IS10" s="280"/>
    </row>
    <row r="11" spans="1:253" s="429" customFormat="1" ht="18.75" customHeight="1">
      <c r="A11" s="430"/>
      <c r="B11" s="431"/>
      <c r="C11" s="434"/>
      <c r="D11" s="40" t="s">
        <v>434</v>
      </c>
      <c r="E11" s="436">
        <f>12*48*(0.75*736)</f>
        <v>317952</v>
      </c>
      <c r="IR11" s="280"/>
      <c r="IS11" s="280"/>
    </row>
    <row r="12" spans="1:5" s="280" customFormat="1" ht="15.75">
      <c r="A12" s="279"/>
      <c r="B12" s="281"/>
      <c r="C12" s="281"/>
      <c r="D12" s="437"/>
      <c r="E12" s="437"/>
    </row>
  </sheetData>
  <sheetProtection selectLockedCells="1" selectUnlockedCells="1"/>
  <mergeCells count="2">
    <mergeCell ref="A1:E1"/>
    <mergeCell ref="A2:E2"/>
  </mergeCells>
  <printOptions horizontalCentered="1"/>
  <pageMargins left="0.5902777777777778" right="0.5902777777777778" top="0.9534722222222223" bottom="0.7555555555555555" header="0.5902777777777778" footer="0.5902777777777778"/>
  <pageSetup horizontalDpi="300" verticalDpi="300" orientation="portrait" paperSize="9" r:id="rId1"/>
  <headerFooter alignWithMargins="0">
    <oddHeader>&amp;R&amp;"Times New Roman,Normalny"&amp;12Załącznik Nr 24 do Uchwały  Nr III/12/2010 Rady Miejskiej w Barlinku z dnia 30 grudnia 2010</oddHeader>
    <oddFooter>&amp;C&amp;"Times New Roman,Normalny"&amp;12Strona &amp;P z &amp;N</oddFooter>
  </headerFooter>
  <colBreaks count="1" manualBreakCount="1">
    <brk id="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5"/>
  <sheetViews>
    <sheetView showGridLines="0" defaultGridColor="0" view="pageBreakPreview" zoomScaleSheetLayoutView="100" colorId="15" workbookViewId="0" topLeftCell="A1">
      <selection activeCell="J10" sqref="J10"/>
    </sheetView>
  </sheetViews>
  <sheetFormatPr defaultColWidth="9.00390625" defaultRowHeight="12.75"/>
  <cols>
    <col min="1" max="1" width="6.75390625" style="401" customWidth="1"/>
    <col min="2" max="2" width="9.25390625" style="402" customWidth="1"/>
    <col min="3" max="3" width="8.75390625" style="402" customWidth="1"/>
    <col min="4" max="4" width="52.125" style="403" customWidth="1"/>
    <col min="5" max="5" width="12.75390625" style="403" customWidth="1"/>
    <col min="6" max="251" width="11.625" style="404" customWidth="1"/>
    <col min="252" max="16384" width="11.625" style="405" customWidth="1"/>
  </cols>
  <sheetData>
    <row r="1" spans="1:7" ht="50.25" customHeight="1">
      <c r="A1" s="560" t="s">
        <v>435</v>
      </c>
      <c r="B1" s="560"/>
      <c r="C1" s="560"/>
      <c r="D1" s="560"/>
      <c r="E1" s="560"/>
      <c r="F1" s="405"/>
      <c r="G1" s="405"/>
    </row>
    <row r="2" spans="1:253" s="124" customFormat="1" ht="39.75" customHeight="1">
      <c r="A2" s="409" t="s">
        <v>1</v>
      </c>
      <c r="B2" s="19" t="s">
        <v>21</v>
      </c>
      <c r="C2" s="19" t="s">
        <v>22</v>
      </c>
      <c r="D2" s="438" t="s">
        <v>436</v>
      </c>
      <c r="E2" s="410" t="s">
        <v>187</v>
      </c>
      <c r="IR2" s="411"/>
      <c r="IS2" s="411"/>
    </row>
    <row r="3" spans="1:253" s="124" customFormat="1" ht="18.75" customHeight="1">
      <c r="A3" s="250">
        <v>600</v>
      </c>
      <c r="B3" s="250"/>
      <c r="C3" s="250"/>
      <c r="D3" s="251" t="s">
        <v>36</v>
      </c>
      <c r="E3" s="439">
        <f>E4</f>
        <v>1666200</v>
      </c>
      <c r="IR3" s="411"/>
      <c r="IS3" s="411"/>
    </row>
    <row r="4" spans="1:253" s="124" customFormat="1" ht="18.75" customHeight="1">
      <c r="A4" s="44"/>
      <c r="B4" s="44">
        <v>60013</v>
      </c>
      <c r="C4" s="44"/>
      <c r="D4" s="45" t="s">
        <v>207</v>
      </c>
      <c r="E4" s="241">
        <f>E5</f>
        <v>1666200</v>
      </c>
      <c r="IR4" s="411"/>
      <c r="IS4" s="411"/>
    </row>
    <row r="5" spans="1:253" s="124" customFormat="1" ht="61.5" customHeight="1">
      <c r="A5" s="254"/>
      <c r="B5" s="275"/>
      <c r="C5" s="275">
        <v>6630</v>
      </c>
      <c r="D5" s="276" t="s">
        <v>208</v>
      </c>
      <c r="E5" s="292">
        <f>'zał 11'!E16</f>
        <v>1666200</v>
      </c>
      <c r="IR5" s="411"/>
      <c r="IS5" s="411"/>
    </row>
    <row r="6" spans="1:253" s="124" customFormat="1" ht="18.75" customHeight="1">
      <c r="A6" s="250">
        <v>803</v>
      </c>
      <c r="B6" s="250"/>
      <c r="C6" s="250"/>
      <c r="D6" s="251" t="s">
        <v>304</v>
      </c>
      <c r="E6" s="439">
        <f>E7</f>
        <v>10000</v>
      </c>
      <c r="IR6" s="411"/>
      <c r="IS6" s="411"/>
    </row>
    <row r="7" spans="1:253" s="124" customFormat="1" ht="18.75" customHeight="1">
      <c r="A7" s="270"/>
      <c r="B7" s="271">
        <v>80395</v>
      </c>
      <c r="C7" s="272"/>
      <c r="D7" s="273" t="s">
        <v>30</v>
      </c>
      <c r="E7" s="440">
        <f>E8</f>
        <v>10000</v>
      </c>
      <c r="IR7" s="411"/>
      <c r="IS7" s="411"/>
    </row>
    <row r="8" spans="1:253" s="124" customFormat="1" ht="61.5" customHeight="1">
      <c r="A8" s="274"/>
      <c r="B8" s="274"/>
      <c r="C8" s="275">
        <v>6630</v>
      </c>
      <c r="D8" s="276" t="s">
        <v>208</v>
      </c>
      <c r="E8" s="293">
        <f>'zał 11'!E38</f>
        <v>10000</v>
      </c>
      <c r="IR8" s="411"/>
      <c r="IS8" s="411"/>
    </row>
    <row r="9" spans="1:5" ht="18.75" customHeight="1">
      <c r="A9" s="250">
        <v>851</v>
      </c>
      <c r="B9" s="250"/>
      <c r="C9" s="250"/>
      <c r="D9" s="251" t="s">
        <v>305</v>
      </c>
      <c r="E9" s="439">
        <f>E10</f>
        <v>6000</v>
      </c>
    </row>
    <row r="10" spans="1:5" ht="18.75" customHeight="1">
      <c r="A10" s="270"/>
      <c r="B10" s="270">
        <v>85154</v>
      </c>
      <c r="C10" s="270"/>
      <c r="D10" s="441" t="s">
        <v>309</v>
      </c>
      <c r="E10" s="440">
        <f>E11</f>
        <v>6000</v>
      </c>
    </row>
    <row r="11" spans="1:5" ht="32.25" customHeight="1">
      <c r="A11" s="274"/>
      <c r="B11" s="274"/>
      <c r="C11" s="274">
        <v>2310</v>
      </c>
      <c r="D11" s="442" t="s">
        <v>310</v>
      </c>
      <c r="E11" s="293">
        <v>6000</v>
      </c>
    </row>
    <row r="12" spans="1:5" ht="18.75" customHeight="1">
      <c r="A12" s="412" t="s">
        <v>18</v>
      </c>
      <c r="B12" s="251"/>
      <c r="C12" s="251"/>
      <c r="D12" s="88" t="s">
        <v>158</v>
      </c>
      <c r="E12" s="414">
        <f>E13</f>
        <v>2800</v>
      </c>
    </row>
    <row r="13" spans="1:5" ht="18.75" customHeight="1">
      <c r="A13" s="62"/>
      <c r="B13" s="271">
        <v>92695</v>
      </c>
      <c r="C13" s="272"/>
      <c r="D13" s="273" t="s">
        <v>30</v>
      </c>
      <c r="E13" s="273">
        <f>E14</f>
        <v>2800</v>
      </c>
    </row>
    <row r="14" spans="1:5" ht="47.25" customHeight="1">
      <c r="A14" s="62"/>
      <c r="B14" s="271"/>
      <c r="C14" s="272">
        <v>2320</v>
      </c>
      <c r="D14" s="443" t="s">
        <v>437</v>
      </c>
      <c r="E14" s="444">
        <v>2800</v>
      </c>
    </row>
    <row r="15" spans="1:253" s="425" customFormat="1" ht="18.75" customHeight="1">
      <c r="A15" s="548" t="s">
        <v>19</v>
      </c>
      <c r="B15" s="548"/>
      <c r="C15" s="548"/>
      <c r="D15" s="548"/>
      <c r="E15" s="424">
        <f>E9+E12+E3+E6</f>
        <v>1685000</v>
      </c>
      <c r="IR15" s="426"/>
      <c r="IS15" s="426"/>
    </row>
  </sheetData>
  <sheetProtection selectLockedCells="1" selectUnlockedCells="1"/>
  <mergeCells count="2">
    <mergeCell ref="A1:E1"/>
    <mergeCell ref="A15:D15"/>
  </mergeCells>
  <printOptions/>
  <pageMargins left="0.5902777777777778" right="0.5902777777777778" top="0.9534722222222223" bottom="0.7569444444444444" header="0.5902777777777778" footer="0.5902777777777778"/>
  <pageSetup horizontalDpi="300" verticalDpi="300" orientation="portrait" paperSize="9" r:id="rId1"/>
  <headerFooter alignWithMargins="0">
    <oddHeader>&amp;R&amp;"Times New Roman,Normalny"&amp;12Załącznik Nr 25 do Uchwały  Nr III/12/2010 Rady Miejskiej w Barlinku z dnia 30 grudnia 2010</oddHeader>
    <oddFooter>&amp;C&amp;"Times New Roman,Normalny"&amp;12Strona &amp;P z &amp;N</oddFooter>
  </headerFooter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4"/>
  <sheetViews>
    <sheetView showGridLines="0" defaultGridColor="0" view="pageBreakPreview" zoomScaleSheetLayoutView="100" colorId="15" workbookViewId="0" topLeftCell="A1">
      <selection activeCell="J15" sqref="J15"/>
    </sheetView>
  </sheetViews>
  <sheetFormatPr defaultColWidth="9.00390625" defaultRowHeight="12.75"/>
  <cols>
    <col min="1" max="1" width="6.75390625" style="279" customWidth="1"/>
    <col min="2" max="2" width="9.25390625" style="281" customWidth="1"/>
    <col min="3" max="3" width="8.75390625" style="281" customWidth="1"/>
    <col min="4" max="4" width="52.375" style="437" customWidth="1"/>
    <col min="5" max="5" width="12.75390625" style="437" customWidth="1"/>
    <col min="6" max="16384" width="11.625" style="280" customWidth="1"/>
  </cols>
  <sheetData>
    <row r="1" spans="1:5" ht="63" customHeight="1">
      <c r="A1" s="560" t="s">
        <v>438</v>
      </c>
      <c r="B1" s="560"/>
      <c r="C1" s="560"/>
      <c r="D1" s="560"/>
      <c r="E1" s="560"/>
    </row>
    <row r="2" spans="1:253" s="124" customFormat="1" ht="16.5" customHeight="1">
      <c r="A2" s="445" t="s">
        <v>1</v>
      </c>
      <c r="B2" s="282" t="s">
        <v>21</v>
      </c>
      <c r="C2" s="282" t="s">
        <v>22</v>
      </c>
      <c r="D2" s="446" t="s">
        <v>423</v>
      </c>
      <c r="E2" s="447" t="s">
        <v>187</v>
      </c>
      <c r="IR2" s="121"/>
      <c r="IS2" s="121"/>
    </row>
    <row r="3" spans="1:253" s="429" customFormat="1" ht="18" customHeight="1">
      <c r="A3" s="412" t="s">
        <v>14</v>
      </c>
      <c r="B3" s="251"/>
      <c r="C3" s="251"/>
      <c r="D3" s="448" t="s">
        <v>427</v>
      </c>
      <c r="E3" s="439">
        <f>E4</f>
        <v>3000</v>
      </c>
      <c r="IR3" s="280"/>
      <c r="IS3" s="280"/>
    </row>
    <row r="4" spans="1:253" s="429" customFormat="1" ht="18.75" customHeight="1">
      <c r="A4" s="416"/>
      <c r="B4" s="449">
        <v>80195</v>
      </c>
      <c r="C4" s="450"/>
      <c r="D4" s="451" t="s">
        <v>30</v>
      </c>
      <c r="E4" s="452">
        <f>E5</f>
        <v>3000</v>
      </c>
      <c r="IR4" s="280"/>
      <c r="IS4" s="280"/>
    </row>
    <row r="5" spans="1:253" s="429" customFormat="1" ht="47.25" customHeight="1">
      <c r="A5" s="416"/>
      <c r="B5" s="449"/>
      <c r="C5" s="450">
        <v>2820</v>
      </c>
      <c r="D5" s="444" t="s">
        <v>439</v>
      </c>
      <c r="E5" s="453">
        <v>3000</v>
      </c>
      <c r="IR5" s="280"/>
      <c r="IS5" s="280"/>
    </row>
    <row r="6" spans="1:5" ht="18.75" customHeight="1">
      <c r="A6" s="412" t="s">
        <v>183</v>
      </c>
      <c r="B6" s="251"/>
      <c r="C6" s="251"/>
      <c r="D6" s="88" t="s">
        <v>440</v>
      </c>
      <c r="E6" s="414">
        <f>E7+E9</f>
        <v>140000</v>
      </c>
    </row>
    <row r="7" spans="1:5" ht="18.75" customHeight="1">
      <c r="A7" s="289"/>
      <c r="B7" s="271">
        <v>85153</v>
      </c>
      <c r="C7" s="271"/>
      <c r="D7" s="273" t="s">
        <v>441</v>
      </c>
      <c r="E7" s="273">
        <f>SUM(E8:E8)</f>
        <v>45000</v>
      </c>
    </row>
    <row r="8" spans="1:5" ht="47.25" customHeight="1">
      <c r="A8" s="62"/>
      <c r="B8" s="271"/>
      <c r="C8" s="272">
        <v>2820</v>
      </c>
      <c r="D8" s="444" t="s">
        <v>442</v>
      </c>
      <c r="E8" s="454">
        <v>45000</v>
      </c>
    </row>
    <row r="9" spans="1:5" ht="18.75" customHeight="1">
      <c r="A9" s="62"/>
      <c r="B9" s="271">
        <v>85154</v>
      </c>
      <c r="C9" s="272"/>
      <c r="D9" s="455" t="s">
        <v>309</v>
      </c>
      <c r="E9" s="273">
        <f>SUM(E10:E11)</f>
        <v>95000</v>
      </c>
    </row>
    <row r="10" spans="1:5" ht="47.25" customHeight="1">
      <c r="A10" s="62"/>
      <c r="B10" s="271"/>
      <c r="C10" s="272">
        <v>2820</v>
      </c>
      <c r="D10" s="444" t="s">
        <v>442</v>
      </c>
      <c r="E10" s="454">
        <v>85000</v>
      </c>
    </row>
    <row r="11" spans="1:5" ht="47.25" customHeight="1">
      <c r="A11" s="62"/>
      <c r="B11" s="271"/>
      <c r="C11" s="272">
        <v>2830</v>
      </c>
      <c r="D11" s="456" t="s">
        <v>311</v>
      </c>
      <c r="E11" s="454">
        <v>10000</v>
      </c>
    </row>
    <row r="12" spans="1:5" ht="18.75" customHeight="1">
      <c r="A12" s="26">
        <v>852</v>
      </c>
      <c r="B12" s="26"/>
      <c r="C12" s="26"/>
      <c r="D12" s="26" t="s">
        <v>169</v>
      </c>
      <c r="E12" s="457">
        <f>E29+E32+E40+E61+E73+E13+E27+E38</f>
        <v>10000</v>
      </c>
    </row>
    <row r="13" spans="1:6" ht="18.75" customHeight="1">
      <c r="A13" s="36"/>
      <c r="B13" s="36">
        <v>85295</v>
      </c>
      <c r="C13" s="36"/>
      <c r="D13" s="37" t="s">
        <v>30</v>
      </c>
      <c r="E13" s="298">
        <f>E14</f>
        <v>10000</v>
      </c>
      <c r="F13" s="458"/>
    </row>
    <row r="14" spans="1:6" ht="47.25" customHeight="1">
      <c r="A14" s="36"/>
      <c r="B14" s="36"/>
      <c r="C14" s="39">
        <v>2820</v>
      </c>
      <c r="D14" s="40" t="s">
        <v>336</v>
      </c>
      <c r="E14" s="297">
        <v>10000</v>
      </c>
      <c r="F14" s="459"/>
    </row>
    <row r="15" spans="1:6" ht="18.75" customHeight="1">
      <c r="A15" s="412" t="s">
        <v>16</v>
      </c>
      <c r="B15" s="413"/>
      <c r="C15" s="413"/>
      <c r="D15" s="26" t="s">
        <v>329</v>
      </c>
      <c r="E15" s="414">
        <f>E16</f>
        <v>7000</v>
      </c>
      <c r="F15" s="459"/>
    </row>
    <row r="16" spans="1:6" ht="32.25" customHeight="1">
      <c r="A16" s="62"/>
      <c r="B16" s="36">
        <v>90019</v>
      </c>
      <c r="C16" s="36"/>
      <c r="D16" s="460" t="s">
        <v>149</v>
      </c>
      <c r="E16" s="273">
        <f>E17</f>
        <v>7000</v>
      </c>
      <c r="F16" s="459"/>
    </row>
    <row r="17" spans="1:6" ht="47.25" customHeight="1">
      <c r="A17" s="62"/>
      <c r="B17" s="272"/>
      <c r="C17" s="272">
        <v>2820</v>
      </c>
      <c r="D17" s="444" t="s">
        <v>439</v>
      </c>
      <c r="E17" s="444">
        <v>7000</v>
      </c>
      <c r="F17" s="459"/>
    </row>
    <row r="18" spans="1:6" ht="18.75" customHeight="1">
      <c r="A18" s="412" t="s">
        <v>17</v>
      </c>
      <c r="B18" s="413"/>
      <c r="C18" s="413"/>
      <c r="D18" s="88" t="s">
        <v>424</v>
      </c>
      <c r="E18" s="414">
        <f>E19</f>
        <v>20000</v>
      </c>
      <c r="F18" s="461"/>
    </row>
    <row r="19" spans="1:5" ht="18.75" customHeight="1">
      <c r="A19" s="62"/>
      <c r="B19" s="271">
        <v>92195</v>
      </c>
      <c r="C19" s="272"/>
      <c r="D19" s="273" t="s">
        <v>30</v>
      </c>
      <c r="E19" s="273">
        <f>E20</f>
        <v>20000</v>
      </c>
    </row>
    <row r="20" spans="1:5" ht="47.25">
      <c r="A20" s="62"/>
      <c r="B20" s="272"/>
      <c r="C20" s="272">
        <v>2820</v>
      </c>
      <c r="D20" s="444" t="s">
        <v>439</v>
      </c>
      <c r="E20" s="444">
        <v>20000</v>
      </c>
    </row>
    <row r="21" spans="1:5" ht="18.75" customHeight="1">
      <c r="A21" s="412" t="s">
        <v>18</v>
      </c>
      <c r="B21" s="251"/>
      <c r="C21" s="251"/>
      <c r="D21" s="88" t="s">
        <v>158</v>
      </c>
      <c r="E21" s="414">
        <f>E22</f>
        <v>60000</v>
      </c>
    </row>
    <row r="22" spans="1:5" ht="18.75" customHeight="1">
      <c r="A22" s="62"/>
      <c r="B22" s="271">
        <v>92605</v>
      </c>
      <c r="C22" s="272"/>
      <c r="D22" s="273" t="s">
        <v>160</v>
      </c>
      <c r="E22" s="273">
        <f>E23</f>
        <v>60000</v>
      </c>
    </row>
    <row r="23" spans="1:5" ht="47.25" customHeight="1">
      <c r="A23" s="62"/>
      <c r="B23" s="271"/>
      <c r="C23" s="272">
        <v>2820</v>
      </c>
      <c r="D23" s="444" t="s">
        <v>442</v>
      </c>
      <c r="E23" s="444">
        <v>60000</v>
      </c>
    </row>
    <row r="24" spans="1:253" s="462" customFormat="1" ht="18" customHeight="1">
      <c r="A24" s="548" t="s">
        <v>19</v>
      </c>
      <c r="B24" s="548"/>
      <c r="C24" s="548"/>
      <c r="D24" s="548"/>
      <c r="E24" s="424">
        <f>E21+E18+E6+E3+E12+E15</f>
        <v>240000</v>
      </c>
      <c r="IR24" s="280"/>
      <c r="IS24" s="280"/>
    </row>
  </sheetData>
  <sheetProtection selectLockedCells="1" selectUnlockedCells="1"/>
  <mergeCells count="2">
    <mergeCell ref="A1:E1"/>
    <mergeCell ref="A24:D24"/>
  </mergeCells>
  <printOptions/>
  <pageMargins left="0.7875" right="0.7875" top="1.1506944444444445" bottom="0.9541666666666666" header="0.7875" footer="0.7875"/>
  <pageSetup horizontalDpi="300" verticalDpi="300" orientation="portrait" paperSize="9" scale="94" r:id="rId1"/>
  <headerFooter alignWithMargins="0">
    <oddHeader>&amp;R&amp;"Times New Roman,Normalny"&amp;12Załącznik Nr 26 do Uchwały  Nr III/12/2010 Rady Miejskiej w Barlinku z dnia 30 grudnia 2010</oddHeader>
    <oddFooter>&amp;C&amp;"Times New Roman,Normalny"&amp;12Strona &amp;P z &amp;N</oddFooter>
  </headerFooter>
  <colBreaks count="1" manualBreakCount="1">
    <brk id="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view="pageBreakPreview" zoomScaleSheetLayoutView="100" colorId="15" workbookViewId="0" topLeftCell="A1">
      <selection activeCell="D5" sqref="D5"/>
    </sheetView>
  </sheetViews>
  <sheetFormatPr defaultColWidth="9.00390625" defaultRowHeight="12.75" customHeight="1"/>
  <cols>
    <col min="1" max="1" width="4.75390625" style="463" customWidth="1"/>
    <col min="2" max="2" width="44.375" style="463" customWidth="1"/>
    <col min="3" max="3" width="19.125" style="463" customWidth="1"/>
    <col min="4" max="4" width="17.125" style="463" customWidth="1"/>
    <col min="5" max="16384" width="9.125" style="463" customWidth="1"/>
  </cols>
  <sheetData>
    <row r="1" spans="1:7" ht="57" customHeight="1">
      <c r="A1" s="561" t="s">
        <v>443</v>
      </c>
      <c r="B1" s="561"/>
      <c r="C1" s="561"/>
      <c r="D1" s="561"/>
      <c r="G1" s="464"/>
    </row>
    <row r="2" spans="1:4" ht="64.5" customHeight="1">
      <c r="A2" s="465" t="s">
        <v>444</v>
      </c>
      <c r="B2" s="465" t="s">
        <v>445</v>
      </c>
      <c r="C2" s="466" t="s">
        <v>446</v>
      </c>
      <c r="D2" s="466" t="s">
        <v>447</v>
      </c>
    </row>
    <row r="3" spans="1:4" ht="10.5" customHeight="1">
      <c r="A3" s="467">
        <v>1</v>
      </c>
      <c r="B3" s="467">
        <v>2</v>
      </c>
      <c r="C3" s="467">
        <v>3</v>
      </c>
      <c r="D3" s="467">
        <v>4</v>
      </c>
    </row>
    <row r="4" spans="1:4" ht="18" customHeight="1">
      <c r="A4" s="562" t="s">
        <v>448</v>
      </c>
      <c r="B4" s="562"/>
      <c r="C4" s="468"/>
      <c r="D4" s="469">
        <f>SUM(D5:D13)</f>
        <v>8462630</v>
      </c>
    </row>
    <row r="5" spans="1:4" ht="18" customHeight="1">
      <c r="A5" s="468" t="s">
        <v>449</v>
      </c>
      <c r="B5" s="470" t="s">
        <v>450</v>
      </c>
      <c r="C5" s="468" t="s">
        <v>451</v>
      </c>
      <c r="D5" s="471">
        <f>'zał 6'!C24-'zał 1'!C19-D6-D7-D8-D9-D10-D11-D12-D13+D14</f>
        <v>5264859</v>
      </c>
    </row>
    <row r="6" spans="1:4" ht="18" customHeight="1">
      <c r="A6" s="468" t="s">
        <v>452</v>
      </c>
      <c r="B6" s="470" t="s">
        <v>453</v>
      </c>
      <c r="C6" s="468" t="s">
        <v>451</v>
      </c>
      <c r="D6" s="472"/>
    </row>
    <row r="7" spans="1:11" ht="32.25" customHeight="1">
      <c r="A7" s="468" t="s">
        <v>454</v>
      </c>
      <c r="B7" s="470" t="s">
        <v>455</v>
      </c>
      <c r="C7" s="468" t="s">
        <v>456</v>
      </c>
      <c r="D7" s="471">
        <v>500000</v>
      </c>
      <c r="K7" s="473"/>
    </row>
    <row r="8" spans="1:4" ht="18" customHeight="1">
      <c r="A8" s="468" t="s">
        <v>457</v>
      </c>
      <c r="B8" s="470" t="s">
        <v>458</v>
      </c>
      <c r="C8" s="468" t="s">
        <v>459</v>
      </c>
      <c r="D8" s="471">
        <v>3768</v>
      </c>
    </row>
    <row r="9" spans="1:4" ht="18.75" customHeight="1">
      <c r="A9" s="468" t="s">
        <v>460</v>
      </c>
      <c r="B9" s="470" t="s">
        <v>461</v>
      </c>
      <c r="C9" s="468" t="s">
        <v>462</v>
      </c>
      <c r="D9" s="471"/>
    </row>
    <row r="10" spans="1:4" ht="18" customHeight="1">
      <c r="A10" s="468" t="s">
        <v>463</v>
      </c>
      <c r="B10" s="470" t="s">
        <v>464</v>
      </c>
      <c r="C10" s="468" t="s">
        <v>465</v>
      </c>
      <c r="D10" s="471"/>
    </row>
    <row r="11" spans="1:4" ht="18" customHeight="1">
      <c r="A11" s="468" t="s">
        <v>466</v>
      </c>
      <c r="B11" s="470" t="s">
        <v>467</v>
      </c>
      <c r="C11" s="468" t="s">
        <v>468</v>
      </c>
      <c r="D11" s="471">
        <v>2500000</v>
      </c>
    </row>
    <row r="12" spans="1:4" ht="18" customHeight="1">
      <c r="A12" s="468" t="s">
        <v>469</v>
      </c>
      <c r="B12" s="474" t="s">
        <v>470</v>
      </c>
      <c r="C12" s="475" t="s">
        <v>471</v>
      </c>
      <c r="D12" s="471">
        <v>194003</v>
      </c>
    </row>
    <row r="13" spans="1:4" ht="18" customHeight="1">
      <c r="A13" s="468" t="s">
        <v>472</v>
      </c>
      <c r="B13" s="470" t="s">
        <v>473</v>
      </c>
      <c r="C13" s="468" t="s">
        <v>474</v>
      </c>
      <c r="D13" s="471"/>
    </row>
    <row r="14" spans="1:4" ht="18" customHeight="1">
      <c r="A14" s="562" t="s">
        <v>475</v>
      </c>
      <c r="B14" s="562"/>
      <c r="C14" s="468"/>
      <c r="D14" s="469">
        <f>D15+D18+D19+D20+D21+D22+D23</f>
        <v>1379449</v>
      </c>
    </row>
    <row r="15" spans="1:4" ht="18" customHeight="1">
      <c r="A15" s="468" t="s">
        <v>449</v>
      </c>
      <c r="B15" s="470" t="s">
        <v>476</v>
      </c>
      <c r="C15" s="468" t="s">
        <v>477</v>
      </c>
      <c r="D15" s="471">
        <f>D16+D17</f>
        <v>1379449</v>
      </c>
    </row>
    <row r="16" spans="1:4" ht="18.75" customHeight="1">
      <c r="A16" s="468"/>
      <c r="B16" s="257" t="s">
        <v>478</v>
      </c>
      <c r="C16" s="472"/>
      <c r="D16" s="476">
        <f>384000</f>
        <v>384000</v>
      </c>
    </row>
    <row r="17" spans="1:4" ht="18.75" customHeight="1">
      <c r="A17" s="468"/>
      <c r="B17" s="257" t="s">
        <v>479</v>
      </c>
      <c r="C17" s="472"/>
      <c r="D17" s="476">
        <f>93809+600000+301640</f>
        <v>995449</v>
      </c>
    </row>
    <row r="18" spans="1:4" ht="18" customHeight="1">
      <c r="A18" s="468" t="s">
        <v>452</v>
      </c>
      <c r="B18" s="470" t="s">
        <v>480</v>
      </c>
      <c r="C18" s="468" t="s">
        <v>477</v>
      </c>
      <c r="D18" s="471"/>
    </row>
    <row r="19" spans="1:4" ht="47.25" customHeight="1">
      <c r="A19" s="468" t="s">
        <v>454</v>
      </c>
      <c r="B19" s="470" t="s">
        <v>481</v>
      </c>
      <c r="C19" s="468" t="s">
        <v>482</v>
      </c>
      <c r="D19" s="471"/>
    </row>
    <row r="20" spans="1:4" ht="18" customHeight="1">
      <c r="A20" s="468" t="s">
        <v>457</v>
      </c>
      <c r="B20" s="470" t="s">
        <v>483</v>
      </c>
      <c r="C20" s="468" t="s">
        <v>484</v>
      </c>
      <c r="D20" s="471"/>
    </row>
    <row r="21" spans="1:4" ht="18" customHeight="1">
      <c r="A21" s="468" t="s">
        <v>460</v>
      </c>
      <c r="B21" s="470" t="s">
        <v>485</v>
      </c>
      <c r="C21" s="468" t="s">
        <v>486</v>
      </c>
      <c r="D21" s="471"/>
    </row>
    <row r="22" spans="1:4" ht="18" customHeight="1">
      <c r="A22" s="468" t="s">
        <v>463</v>
      </c>
      <c r="B22" s="470" t="s">
        <v>487</v>
      </c>
      <c r="C22" s="468" t="s">
        <v>488</v>
      </c>
      <c r="D22" s="471"/>
    </row>
    <row r="23" spans="1:4" ht="18" customHeight="1">
      <c r="A23" s="468" t="s">
        <v>466</v>
      </c>
      <c r="B23" s="470" t="s">
        <v>489</v>
      </c>
      <c r="C23" s="468" t="s">
        <v>490</v>
      </c>
      <c r="D23" s="471"/>
    </row>
    <row r="24" spans="1:4" ht="15" customHeight="1">
      <c r="A24" s="477"/>
      <c r="B24" s="478"/>
      <c r="C24" s="478"/>
      <c r="D24" s="478"/>
    </row>
    <row r="25" spans="1:4" ht="12.75" customHeight="1">
      <c r="A25" s="479"/>
      <c r="B25" s="480"/>
      <c r="C25" s="480"/>
      <c r="D25" s="480"/>
    </row>
  </sheetData>
  <sheetProtection selectLockedCells="1" selectUnlockedCells="1"/>
  <mergeCells count="3">
    <mergeCell ref="A1:D1"/>
    <mergeCell ref="A4:B4"/>
    <mergeCell ref="A14:B14"/>
  </mergeCells>
  <printOptions/>
  <pageMargins left="0.7875" right="0.7875" top="1.1506944444444445" bottom="1.0527777777777778" header="0.7875" footer="0.7875"/>
  <pageSetup horizontalDpi="300" verticalDpi="300" orientation="portrait" paperSize="9" r:id="rId1"/>
  <headerFooter alignWithMargins="0">
    <oddHeader>&amp;R&amp;"Times New Roman,Normalny"&amp;12Załącznik Nr 27 do Uchwały  Nr III/12/2010 Rady Miejskiej w Barlinku z dnia 30 grudnia 2010</oddHeader>
    <oddFooter>&amp;C&amp;"Times New Roman,Normalny"&amp;12Strona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19"/>
  <sheetViews>
    <sheetView showGridLines="0" defaultGridColor="0" view="pageBreakPreview" zoomScaleSheetLayoutView="100" colorId="15" workbookViewId="0" topLeftCell="A84">
      <selection activeCell="O130" sqref="O130"/>
    </sheetView>
  </sheetViews>
  <sheetFormatPr defaultColWidth="9.00390625" defaultRowHeight="12.75"/>
  <cols>
    <col min="1" max="1" width="6.125" style="481" customWidth="1"/>
    <col min="2" max="2" width="8.75390625" style="481" customWidth="1"/>
    <col min="3" max="3" width="0" style="481" hidden="1" customWidth="1"/>
    <col min="4" max="4" width="45.875" style="481" customWidth="1"/>
    <col min="5" max="5" width="10.00390625" style="481" customWidth="1"/>
    <col min="6" max="6" width="10.875" style="463" customWidth="1"/>
    <col min="7" max="7" width="10.25390625" style="463" customWidth="1"/>
    <col min="8" max="16384" width="8.75390625" style="481" customWidth="1"/>
  </cols>
  <sheetData>
    <row r="1" spans="1:7" ht="42.75" customHeight="1">
      <c r="A1" s="561" t="s">
        <v>491</v>
      </c>
      <c r="B1" s="561"/>
      <c r="C1" s="561"/>
      <c r="D1" s="561"/>
      <c r="E1" s="561"/>
      <c r="F1" s="561"/>
      <c r="G1" s="561"/>
    </row>
    <row r="2" spans="1:7" ht="15.75" customHeight="1">
      <c r="A2" s="563" t="s">
        <v>1</v>
      </c>
      <c r="B2" s="563" t="s">
        <v>21</v>
      </c>
      <c r="C2" s="563" t="s">
        <v>22</v>
      </c>
      <c r="D2" s="563" t="s">
        <v>492</v>
      </c>
      <c r="E2" s="563" t="s">
        <v>493</v>
      </c>
      <c r="F2" s="563" t="s">
        <v>25</v>
      </c>
      <c r="G2" s="563"/>
    </row>
    <row r="3" spans="1:7" s="482" customFormat="1" ht="52.5" customHeight="1">
      <c r="A3" s="563"/>
      <c r="B3" s="563"/>
      <c r="C3" s="563"/>
      <c r="D3" s="563"/>
      <c r="E3" s="563"/>
      <c r="F3" s="466" t="s">
        <v>494</v>
      </c>
      <c r="G3" s="466" t="s">
        <v>495</v>
      </c>
    </row>
    <row r="4" spans="1:7" s="485" customFormat="1" ht="12.75">
      <c r="A4" s="483">
        <v>1</v>
      </c>
      <c r="B4" s="483">
        <v>2</v>
      </c>
      <c r="C4" s="484">
        <v>3</v>
      </c>
      <c r="D4" s="484">
        <v>3</v>
      </c>
      <c r="E4" s="484">
        <v>4</v>
      </c>
      <c r="F4" s="484">
        <v>5</v>
      </c>
      <c r="G4" s="484">
        <v>6</v>
      </c>
    </row>
    <row r="5" spans="1:7" s="488" customFormat="1" ht="19.5" customHeight="1">
      <c r="A5" s="564" t="s">
        <v>496</v>
      </c>
      <c r="B5" s="564"/>
      <c r="C5" s="564"/>
      <c r="D5" s="564"/>
      <c r="E5" s="486">
        <f>E6+E8+E10</f>
        <v>10214</v>
      </c>
      <c r="F5" s="486">
        <f>F6+F8+F10</f>
        <v>10214</v>
      </c>
      <c r="G5" s="487">
        <f>G6+G8+G10</f>
        <v>0</v>
      </c>
    </row>
    <row r="6" spans="1:7" ht="31.5">
      <c r="A6" s="489">
        <v>900</v>
      </c>
      <c r="B6" s="489"/>
      <c r="C6" s="489"/>
      <c r="D6" s="490" t="s">
        <v>329</v>
      </c>
      <c r="E6" s="491">
        <f>E7</f>
        <v>7714</v>
      </c>
      <c r="F6" s="491">
        <f>F7</f>
        <v>7714</v>
      </c>
      <c r="G6" s="492">
        <f>G7</f>
        <v>0</v>
      </c>
    </row>
    <row r="7" spans="1:7" ht="18.75" customHeight="1">
      <c r="A7" s="493"/>
      <c r="B7" s="493">
        <v>90004</v>
      </c>
      <c r="C7" s="493">
        <v>4210</v>
      </c>
      <c r="D7" s="443" t="s">
        <v>332</v>
      </c>
      <c r="E7" s="494">
        <f>F7+G7</f>
        <v>7714</v>
      </c>
      <c r="F7" s="495">
        <f>3300+4414</f>
        <v>7714</v>
      </c>
      <c r="G7" s="496"/>
    </row>
    <row r="8" spans="1:7" ht="18.75" customHeight="1">
      <c r="A8" s="489">
        <v>921</v>
      </c>
      <c r="B8" s="489"/>
      <c r="C8" s="489"/>
      <c r="D8" s="490" t="s">
        <v>155</v>
      </c>
      <c r="E8" s="491">
        <f>E9</f>
        <v>2200</v>
      </c>
      <c r="F8" s="491">
        <f>F9</f>
        <v>2200</v>
      </c>
      <c r="G8" s="492">
        <f>G9</f>
        <v>0</v>
      </c>
    </row>
    <row r="9" spans="1:7" ht="18.75" customHeight="1">
      <c r="A9" s="493"/>
      <c r="B9" s="493">
        <v>92195</v>
      </c>
      <c r="C9" s="493">
        <v>4210</v>
      </c>
      <c r="D9" s="276" t="s">
        <v>30</v>
      </c>
      <c r="E9" s="494">
        <f>F9+G9</f>
        <v>2200</v>
      </c>
      <c r="F9" s="494">
        <f>600+600+500+500</f>
        <v>2200</v>
      </c>
      <c r="G9" s="494"/>
    </row>
    <row r="10" spans="1:7" ht="18.75" customHeight="1">
      <c r="A10" s="489">
        <v>926</v>
      </c>
      <c r="B10" s="489"/>
      <c r="C10" s="489"/>
      <c r="D10" s="497" t="s">
        <v>158</v>
      </c>
      <c r="E10" s="491">
        <f>F10+G10</f>
        <v>300</v>
      </c>
      <c r="F10" s="498">
        <f>SUM(F11)</f>
        <v>300</v>
      </c>
      <c r="G10" s="498">
        <f>SUM(G11)</f>
        <v>0</v>
      </c>
    </row>
    <row r="11" spans="1:7" ht="18.75" customHeight="1">
      <c r="A11" s="493"/>
      <c r="B11" s="493">
        <v>92695</v>
      </c>
      <c r="C11" s="493">
        <v>4210</v>
      </c>
      <c r="D11" s="276" t="s">
        <v>30</v>
      </c>
      <c r="E11" s="494">
        <f>F11+G11</f>
        <v>300</v>
      </c>
      <c r="F11" s="495">
        <v>300</v>
      </c>
      <c r="G11" s="494"/>
    </row>
    <row r="12" spans="1:7" s="482" customFormat="1" ht="19.5" customHeight="1">
      <c r="A12" s="564" t="s">
        <v>497</v>
      </c>
      <c r="B12" s="564"/>
      <c r="C12" s="564"/>
      <c r="D12" s="564"/>
      <c r="E12" s="486">
        <f>E13+E15+E18</f>
        <v>7334</v>
      </c>
      <c r="F12" s="486">
        <f>F13+F15+F18</f>
        <v>7334</v>
      </c>
      <c r="G12" s="487">
        <f>G13+G15</f>
        <v>0</v>
      </c>
    </row>
    <row r="13" spans="1:7" ht="31.5">
      <c r="A13" s="489">
        <v>900</v>
      </c>
      <c r="B13" s="489"/>
      <c r="C13" s="489"/>
      <c r="D13" s="490" t="s">
        <v>329</v>
      </c>
      <c r="E13" s="491">
        <f>E14</f>
        <v>1934</v>
      </c>
      <c r="F13" s="491">
        <f>F14</f>
        <v>1934</v>
      </c>
      <c r="G13" s="492">
        <f>G14</f>
        <v>0</v>
      </c>
    </row>
    <row r="14" spans="1:7" ht="18.75" customHeight="1">
      <c r="A14" s="493"/>
      <c r="B14" s="493">
        <v>90004</v>
      </c>
      <c r="C14" s="493">
        <v>4210</v>
      </c>
      <c r="D14" s="443" t="s">
        <v>332</v>
      </c>
      <c r="E14" s="494">
        <f>F14+G14</f>
        <v>1934</v>
      </c>
      <c r="F14" s="495">
        <v>1934</v>
      </c>
      <c r="G14" s="496"/>
    </row>
    <row r="15" spans="1:7" ht="18.75" customHeight="1">
      <c r="A15" s="489">
        <v>921</v>
      </c>
      <c r="B15" s="489"/>
      <c r="C15" s="489"/>
      <c r="D15" s="490" t="s">
        <v>155</v>
      </c>
      <c r="E15" s="491">
        <f>E17+E16</f>
        <v>4200</v>
      </c>
      <c r="F15" s="491">
        <f>F17+F16</f>
        <v>4200</v>
      </c>
      <c r="G15" s="492">
        <f>G17+G16</f>
        <v>0</v>
      </c>
    </row>
    <row r="16" spans="1:7" ht="18.75" customHeight="1">
      <c r="A16" s="489"/>
      <c r="B16" s="272">
        <v>92109</v>
      </c>
      <c r="C16" s="493">
        <v>4210</v>
      </c>
      <c r="D16" s="443" t="s">
        <v>156</v>
      </c>
      <c r="E16" s="494">
        <f>F16+G16</f>
        <v>1500</v>
      </c>
      <c r="F16" s="494">
        <v>1500</v>
      </c>
      <c r="G16" s="492"/>
    </row>
    <row r="17" spans="1:7" ht="18.75" customHeight="1">
      <c r="A17" s="493"/>
      <c r="B17" s="493">
        <v>92195</v>
      </c>
      <c r="C17" s="493">
        <v>4210</v>
      </c>
      <c r="D17" s="276" t="s">
        <v>30</v>
      </c>
      <c r="E17" s="494">
        <f>F17+G17</f>
        <v>2700</v>
      </c>
      <c r="F17" s="494">
        <f>300+150+700+350+1200</f>
        <v>2700</v>
      </c>
      <c r="G17" s="494"/>
    </row>
    <row r="18" spans="1:7" ht="18.75" customHeight="1">
      <c r="A18" s="489">
        <v>926</v>
      </c>
      <c r="B18" s="489"/>
      <c r="C18" s="489"/>
      <c r="D18" s="497" t="s">
        <v>158</v>
      </c>
      <c r="E18" s="491">
        <f>F18+G18</f>
        <v>1200</v>
      </c>
      <c r="F18" s="498">
        <f>SUM(F19)</f>
        <v>1200</v>
      </c>
      <c r="G18" s="498">
        <f>SUM(G19)</f>
        <v>0</v>
      </c>
    </row>
    <row r="19" spans="1:7" ht="18.75" customHeight="1">
      <c r="A19" s="493"/>
      <c r="B19" s="493">
        <v>92695</v>
      </c>
      <c r="C19" s="493"/>
      <c r="D19" s="276" t="s">
        <v>30</v>
      </c>
      <c r="E19" s="494">
        <f>F19+G19</f>
        <v>1200</v>
      </c>
      <c r="F19" s="495">
        <v>1200</v>
      </c>
      <c r="G19" s="494"/>
    </row>
    <row r="20" spans="1:7" s="482" customFormat="1" ht="19.5" customHeight="1">
      <c r="A20" s="564" t="s">
        <v>498</v>
      </c>
      <c r="B20" s="564"/>
      <c r="C20" s="564"/>
      <c r="D20" s="564"/>
      <c r="E20" s="486">
        <f aca="true" t="shared" si="0" ref="E20:G21">E21</f>
        <v>5801</v>
      </c>
      <c r="F20" s="486">
        <f t="shared" si="0"/>
        <v>5801</v>
      </c>
      <c r="G20" s="487">
        <f t="shared" si="0"/>
        <v>0</v>
      </c>
    </row>
    <row r="21" spans="1:7" ht="31.5">
      <c r="A21" s="489">
        <v>900</v>
      </c>
      <c r="B21" s="489"/>
      <c r="C21" s="489"/>
      <c r="D21" s="490" t="s">
        <v>329</v>
      </c>
      <c r="E21" s="491">
        <f t="shared" si="0"/>
        <v>5801</v>
      </c>
      <c r="F21" s="491">
        <f t="shared" si="0"/>
        <v>5801</v>
      </c>
      <c r="G21" s="492">
        <f t="shared" si="0"/>
        <v>0</v>
      </c>
    </row>
    <row r="22" spans="1:7" ht="18.75" customHeight="1">
      <c r="A22" s="493"/>
      <c r="B22" s="272">
        <v>90015</v>
      </c>
      <c r="C22" s="272"/>
      <c r="D22" s="443" t="s">
        <v>334</v>
      </c>
      <c r="E22" s="494">
        <f>F22+G22</f>
        <v>5801</v>
      </c>
      <c r="F22" s="495">
        <v>5801</v>
      </c>
      <c r="G22" s="496"/>
    </row>
    <row r="23" spans="1:7" s="482" customFormat="1" ht="19.5" customHeight="1">
      <c r="A23" s="564" t="s">
        <v>499</v>
      </c>
      <c r="B23" s="564"/>
      <c r="C23" s="564"/>
      <c r="D23" s="564"/>
      <c r="E23" s="486">
        <f>E26+E24</f>
        <v>5428</v>
      </c>
      <c r="F23" s="486">
        <f>F26+F24</f>
        <v>5428</v>
      </c>
      <c r="G23" s="487">
        <f>G26</f>
        <v>0</v>
      </c>
    </row>
    <row r="24" spans="1:7" s="482" customFormat="1" ht="31.5">
      <c r="A24" s="489">
        <v>900</v>
      </c>
      <c r="B24" s="489"/>
      <c r="C24" s="489"/>
      <c r="D24" s="490" t="s">
        <v>329</v>
      </c>
      <c r="E24" s="491">
        <f>E25</f>
        <v>1300</v>
      </c>
      <c r="F24" s="491">
        <f>F25</f>
        <v>1300</v>
      </c>
      <c r="G24" s="492">
        <f>G25</f>
        <v>0</v>
      </c>
    </row>
    <row r="25" spans="1:7" s="482" customFormat="1" ht="18.75" customHeight="1">
      <c r="A25" s="493"/>
      <c r="B25" s="493">
        <v>90004</v>
      </c>
      <c r="C25" s="493"/>
      <c r="D25" s="443" t="s">
        <v>332</v>
      </c>
      <c r="E25" s="494">
        <f>F25+G25</f>
        <v>1300</v>
      </c>
      <c r="F25" s="495">
        <f>1000+300</f>
        <v>1300</v>
      </c>
      <c r="G25" s="496"/>
    </row>
    <row r="26" spans="1:7" ht="18.75" customHeight="1">
      <c r="A26" s="489">
        <v>921</v>
      </c>
      <c r="B26" s="489"/>
      <c r="C26" s="489"/>
      <c r="D26" s="490" t="s">
        <v>155</v>
      </c>
      <c r="E26" s="491">
        <f>E28+E27</f>
        <v>4128</v>
      </c>
      <c r="F26" s="491">
        <f>F28+F27</f>
        <v>4128</v>
      </c>
      <c r="G26" s="492">
        <f>G28+G27</f>
        <v>0</v>
      </c>
    </row>
    <row r="27" spans="1:7" ht="18.75" customHeight="1">
      <c r="A27" s="489"/>
      <c r="B27" s="272">
        <v>92109</v>
      </c>
      <c r="C27" s="272"/>
      <c r="D27" s="443" t="s">
        <v>156</v>
      </c>
      <c r="E27" s="494">
        <f>F27+G27</f>
        <v>3228</v>
      </c>
      <c r="F27" s="494">
        <f>1000+1928+300</f>
        <v>3228</v>
      </c>
      <c r="G27" s="492"/>
    </row>
    <row r="28" spans="1:7" ht="18.75" customHeight="1">
      <c r="A28" s="493"/>
      <c r="B28" s="493">
        <v>92195</v>
      </c>
      <c r="C28" s="493"/>
      <c r="D28" s="276" t="s">
        <v>30</v>
      </c>
      <c r="E28" s="494">
        <f>F28+G28</f>
        <v>900</v>
      </c>
      <c r="F28" s="494">
        <f>500+400</f>
        <v>900</v>
      </c>
      <c r="G28" s="494"/>
    </row>
    <row r="29" spans="1:7" s="482" customFormat="1" ht="19.5" customHeight="1">
      <c r="A29" s="564" t="s">
        <v>500</v>
      </c>
      <c r="B29" s="564"/>
      <c r="C29" s="564"/>
      <c r="D29" s="564"/>
      <c r="E29" s="486">
        <f>E30</f>
        <v>9509</v>
      </c>
      <c r="F29" s="486">
        <f>F30</f>
        <v>9509</v>
      </c>
      <c r="G29" s="487">
        <f>G30</f>
        <v>0</v>
      </c>
    </row>
    <row r="30" spans="1:7" ht="18.75" customHeight="1">
      <c r="A30" s="489">
        <v>921</v>
      </c>
      <c r="B30" s="489"/>
      <c r="C30" s="489"/>
      <c r="D30" s="490" t="s">
        <v>155</v>
      </c>
      <c r="E30" s="491">
        <f>E32+E31</f>
        <v>9509</v>
      </c>
      <c r="F30" s="491">
        <f>F32+F31</f>
        <v>9509</v>
      </c>
      <c r="G30" s="492">
        <f>G32+G31</f>
        <v>0</v>
      </c>
    </row>
    <row r="31" spans="1:7" ht="18.75" customHeight="1">
      <c r="A31" s="489"/>
      <c r="B31" s="272">
        <v>92109</v>
      </c>
      <c r="C31" s="272"/>
      <c r="D31" s="443" t="s">
        <v>156</v>
      </c>
      <c r="E31" s="494">
        <f>F31+G31</f>
        <v>1600</v>
      </c>
      <c r="F31" s="494">
        <v>1600</v>
      </c>
      <c r="G31" s="499"/>
    </row>
    <row r="32" spans="1:7" ht="18.75" customHeight="1">
      <c r="A32" s="493"/>
      <c r="B32" s="493">
        <v>92195</v>
      </c>
      <c r="C32" s="493"/>
      <c r="D32" s="276" t="s">
        <v>30</v>
      </c>
      <c r="E32" s="494">
        <f>F32+G32</f>
        <v>7909</v>
      </c>
      <c r="F32" s="494">
        <f>509+500+500+2700+500+1300+1900</f>
        <v>7909</v>
      </c>
      <c r="G32" s="494"/>
    </row>
    <row r="33" spans="1:7" s="482" customFormat="1" ht="19.5" customHeight="1">
      <c r="A33" s="564" t="s">
        <v>501</v>
      </c>
      <c r="B33" s="564"/>
      <c r="C33" s="564"/>
      <c r="D33" s="564"/>
      <c r="E33" s="486">
        <f>E34</f>
        <v>11001</v>
      </c>
      <c r="F33" s="486">
        <f>F34</f>
        <v>11001</v>
      </c>
      <c r="G33" s="486">
        <f>G34</f>
        <v>0</v>
      </c>
    </row>
    <row r="34" spans="1:7" ht="18.75" customHeight="1">
      <c r="A34" s="489">
        <v>921</v>
      </c>
      <c r="B34" s="489"/>
      <c r="C34" s="489"/>
      <c r="D34" s="490" t="s">
        <v>155</v>
      </c>
      <c r="E34" s="491">
        <f>E36+E35</f>
        <v>11001</v>
      </c>
      <c r="F34" s="491">
        <f>F36+F35</f>
        <v>11001</v>
      </c>
      <c r="G34" s="492">
        <f>G36</f>
        <v>0</v>
      </c>
    </row>
    <row r="35" spans="1:7" ht="18.75" customHeight="1">
      <c r="A35" s="489"/>
      <c r="B35" s="272">
        <v>92109</v>
      </c>
      <c r="C35" s="272"/>
      <c r="D35" s="443" t="s">
        <v>156</v>
      </c>
      <c r="E35" s="494">
        <f>F35+G35</f>
        <v>8801</v>
      </c>
      <c r="F35" s="494">
        <f>2100+6102+599</f>
        <v>8801</v>
      </c>
      <c r="G35" s="492"/>
    </row>
    <row r="36" spans="1:7" ht="18.75" customHeight="1">
      <c r="A36" s="493"/>
      <c r="B36" s="493">
        <v>92195</v>
      </c>
      <c r="C36" s="493"/>
      <c r="D36" s="276" t="s">
        <v>30</v>
      </c>
      <c r="E36" s="494">
        <f>F36+G36</f>
        <v>2200</v>
      </c>
      <c r="F36" s="494">
        <f>200+200+300+500+200+100+100+600</f>
        <v>2200</v>
      </c>
      <c r="G36" s="494"/>
    </row>
    <row r="37" spans="1:7" s="482" customFormat="1" ht="19.5" customHeight="1">
      <c r="A37" s="564" t="s">
        <v>502</v>
      </c>
      <c r="B37" s="564"/>
      <c r="C37" s="564"/>
      <c r="D37" s="564"/>
      <c r="E37" s="486">
        <f>E38+E40+E42</f>
        <v>8432</v>
      </c>
      <c r="F37" s="486">
        <f>F38+F40+F42</f>
        <v>8432</v>
      </c>
      <c r="G37" s="487">
        <f>G38+G40+G42</f>
        <v>0</v>
      </c>
    </row>
    <row r="38" spans="1:7" ht="31.5">
      <c r="A38" s="489">
        <v>900</v>
      </c>
      <c r="B38" s="489"/>
      <c r="C38" s="489"/>
      <c r="D38" s="490" t="s">
        <v>329</v>
      </c>
      <c r="E38" s="491">
        <f>E39</f>
        <v>2400</v>
      </c>
      <c r="F38" s="491">
        <f>F39</f>
        <v>2400</v>
      </c>
      <c r="G38" s="492">
        <f>G39</f>
        <v>0</v>
      </c>
    </row>
    <row r="39" spans="1:7" ht="18.75" customHeight="1">
      <c r="A39" s="493"/>
      <c r="B39" s="493">
        <v>90004</v>
      </c>
      <c r="C39" s="493"/>
      <c r="D39" s="443" t="s">
        <v>332</v>
      </c>
      <c r="E39" s="494">
        <f>F39+G39</f>
        <v>2400</v>
      </c>
      <c r="F39" s="495">
        <v>2400</v>
      </c>
      <c r="G39" s="496"/>
    </row>
    <row r="40" spans="1:7" ht="18.75" customHeight="1">
      <c r="A40" s="489">
        <v>921</v>
      </c>
      <c r="B40" s="489"/>
      <c r="C40" s="489"/>
      <c r="D40" s="490" t="s">
        <v>155</v>
      </c>
      <c r="E40" s="491">
        <f>E41</f>
        <v>1300</v>
      </c>
      <c r="F40" s="491">
        <f>F41</f>
        <v>1300</v>
      </c>
      <c r="G40" s="492">
        <f>G41</f>
        <v>0</v>
      </c>
    </row>
    <row r="41" spans="1:7" ht="18.75" customHeight="1">
      <c r="A41" s="493"/>
      <c r="B41" s="493">
        <v>92195</v>
      </c>
      <c r="C41" s="493"/>
      <c r="D41" s="276" t="s">
        <v>30</v>
      </c>
      <c r="E41" s="494">
        <f>F41+G41</f>
        <v>1300</v>
      </c>
      <c r="F41" s="494">
        <f>1000+300</f>
        <v>1300</v>
      </c>
      <c r="G41" s="494"/>
    </row>
    <row r="42" spans="1:7" ht="18.75" customHeight="1">
      <c r="A42" s="489">
        <v>926</v>
      </c>
      <c r="B42" s="489"/>
      <c r="C42" s="489"/>
      <c r="D42" s="497" t="s">
        <v>158</v>
      </c>
      <c r="E42" s="491">
        <f>F42+G42</f>
        <v>4732</v>
      </c>
      <c r="F42" s="498">
        <f>SUM(F43)</f>
        <v>4732</v>
      </c>
      <c r="G42" s="498">
        <f>SUM(G43)</f>
        <v>0</v>
      </c>
    </row>
    <row r="43" spans="1:7" ht="18.75" customHeight="1">
      <c r="A43" s="493"/>
      <c r="B43" s="493">
        <v>92695</v>
      </c>
      <c r="C43" s="493"/>
      <c r="D43" s="276" t="s">
        <v>30</v>
      </c>
      <c r="E43" s="494">
        <f>F43+G43</f>
        <v>4732</v>
      </c>
      <c r="F43" s="495">
        <f>1932+2800</f>
        <v>4732</v>
      </c>
      <c r="G43" s="494"/>
    </row>
    <row r="44" spans="1:7" s="482" customFormat="1" ht="19.5" customHeight="1">
      <c r="A44" s="564" t="s">
        <v>503</v>
      </c>
      <c r="B44" s="564"/>
      <c r="C44" s="564"/>
      <c r="D44" s="564"/>
      <c r="E44" s="486">
        <f>E45+E47+E50</f>
        <v>20718</v>
      </c>
      <c r="F44" s="486">
        <f>F45+F47+F50</f>
        <v>20718</v>
      </c>
      <c r="G44" s="487">
        <f>G45+G47+G50</f>
        <v>0</v>
      </c>
    </row>
    <row r="45" spans="1:7" ht="31.5">
      <c r="A45" s="489">
        <v>900</v>
      </c>
      <c r="B45" s="489"/>
      <c r="C45" s="489"/>
      <c r="D45" s="490" t="s">
        <v>329</v>
      </c>
      <c r="E45" s="491">
        <f>E46</f>
        <v>818</v>
      </c>
      <c r="F45" s="491">
        <f>F46</f>
        <v>818</v>
      </c>
      <c r="G45" s="492">
        <f>G46</f>
        <v>0</v>
      </c>
    </row>
    <row r="46" spans="1:7" ht="18.75" customHeight="1">
      <c r="A46" s="493"/>
      <c r="B46" s="493">
        <v>90004</v>
      </c>
      <c r="C46" s="493"/>
      <c r="D46" s="443" t="s">
        <v>332</v>
      </c>
      <c r="E46" s="494">
        <f>F46+G46</f>
        <v>818</v>
      </c>
      <c r="F46" s="495">
        <f>418+400</f>
        <v>818</v>
      </c>
      <c r="G46" s="496"/>
    </row>
    <row r="47" spans="1:7" ht="18.75" customHeight="1">
      <c r="A47" s="489">
        <v>921</v>
      </c>
      <c r="B47" s="489"/>
      <c r="C47" s="489"/>
      <c r="D47" s="490" t="s">
        <v>155</v>
      </c>
      <c r="E47" s="491">
        <f>E49+E48</f>
        <v>15100</v>
      </c>
      <c r="F47" s="491">
        <f>F49+F48</f>
        <v>15100</v>
      </c>
      <c r="G47" s="492">
        <f>G49+G48</f>
        <v>0</v>
      </c>
    </row>
    <row r="48" spans="1:7" ht="18.75" customHeight="1">
      <c r="A48" s="489"/>
      <c r="B48" s="272">
        <v>92109</v>
      </c>
      <c r="C48" s="272"/>
      <c r="D48" s="443" t="s">
        <v>156</v>
      </c>
      <c r="E48" s="494">
        <f>F48+G48</f>
        <v>12900</v>
      </c>
      <c r="F48" s="494">
        <f>3000+1400+8280+220</f>
        <v>12900</v>
      </c>
      <c r="G48" s="499"/>
    </row>
    <row r="49" spans="1:7" ht="18.75" customHeight="1">
      <c r="A49" s="493"/>
      <c r="B49" s="493">
        <v>92195</v>
      </c>
      <c r="C49" s="493"/>
      <c r="D49" s="276" t="s">
        <v>30</v>
      </c>
      <c r="E49" s="494">
        <f>F49+G49</f>
        <v>2200</v>
      </c>
      <c r="F49" s="494">
        <f>1500+700</f>
        <v>2200</v>
      </c>
      <c r="G49" s="494"/>
    </row>
    <row r="50" spans="1:7" ht="18.75" customHeight="1">
      <c r="A50" s="489">
        <v>926</v>
      </c>
      <c r="B50" s="489"/>
      <c r="C50" s="489"/>
      <c r="D50" s="497" t="s">
        <v>158</v>
      </c>
      <c r="E50" s="491">
        <f>F50+G50</f>
        <v>4800</v>
      </c>
      <c r="F50" s="498">
        <f>SUM(F51)</f>
        <v>4800</v>
      </c>
      <c r="G50" s="498">
        <f>SUM(G51)</f>
        <v>0</v>
      </c>
    </row>
    <row r="51" spans="1:7" ht="18.75" customHeight="1">
      <c r="A51" s="493"/>
      <c r="B51" s="493">
        <v>92695</v>
      </c>
      <c r="C51" s="493"/>
      <c r="D51" s="276" t="s">
        <v>30</v>
      </c>
      <c r="E51" s="494">
        <f>F51+G51</f>
        <v>4800</v>
      </c>
      <c r="F51" s="495">
        <f>4000+800</f>
        <v>4800</v>
      </c>
      <c r="G51" s="494"/>
    </row>
    <row r="52" spans="1:7" s="482" customFormat="1" ht="19.5" customHeight="1">
      <c r="A52" s="564" t="s">
        <v>504</v>
      </c>
      <c r="B52" s="564"/>
      <c r="C52" s="564"/>
      <c r="D52" s="564"/>
      <c r="E52" s="486">
        <f>E55+E53</f>
        <v>6775</v>
      </c>
      <c r="F52" s="486">
        <f>F55+F53</f>
        <v>6775</v>
      </c>
      <c r="G52" s="487">
        <f>G55+G53</f>
        <v>0</v>
      </c>
    </row>
    <row r="53" spans="1:7" ht="18.75" customHeight="1">
      <c r="A53" s="489">
        <v>921</v>
      </c>
      <c r="B53" s="489"/>
      <c r="C53" s="489"/>
      <c r="D53" s="490" t="s">
        <v>155</v>
      </c>
      <c r="E53" s="491">
        <f>E54</f>
        <v>3300</v>
      </c>
      <c r="F53" s="491">
        <f>F54</f>
        <v>3300</v>
      </c>
      <c r="G53" s="492">
        <f>G54</f>
        <v>0</v>
      </c>
    </row>
    <row r="54" spans="1:7" ht="18.75" customHeight="1">
      <c r="A54" s="493"/>
      <c r="B54" s="493">
        <v>92195</v>
      </c>
      <c r="C54" s="493"/>
      <c r="D54" s="276" t="s">
        <v>30</v>
      </c>
      <c r="E54" s="494">
        <f>F54+G54</f>
        <v>3300</v>
      </c>
      <c r="F54" s="494">
        <f>2600+700</f>
        <v>3300</v>
      </c>
      <c r="G54" s="494"/>
    </row>
    <row r="55" spans="1:7" ht="18.75" customHeight="1">
      <c r="A55" s="489">
        <v>926</v>
      </c>
      <c r="B55" s="489"/>
      <c r="C55" s="489"/>
      <c r="D55" s="497" t="s">
        <v>158</v>
      </c>
      <c r="E55" s="491">
        <f>F55+G55</f>
        <v>3475</v>
      </c>
      <c r="F55" s="498">
        <f>SUM(F56)</f>
        <v>3475</v>
      </c>
      <c r="G55" s="498">
        <f>SUM(G56)</f>
        <v>0</v>
      </c>
    </row>
    <row r="56" spans="1:7" ht="18.75" customHeight="1">
      <c r="A56" s="493"/>
      <c r="B56" s="493">
        <v>92695</v>
      </c>
      <c r="C56" s="493"/>
      <c r="D56" s="276" t="s">
        <v>30</v>
      </c>
      <c r="E56" s="494">
        <f>F56+G56</f>
        <v>3475</v>
      </c>
      <c r="F56" s="495">
        <v>3475</v>
      </c>
      <c r="G56" s="494"/>
    </row>
    <row r="57" spans="1:7" s="482" customFormat="1" ht="19.5" customHeight="1">
      <c r="A57" s="564" t="s">
        <v>505</v>
      </c>
      <c r="B57" s="564"/>
      <c r="C57" s="564"/>
      <c r="D57" s="564"/>
      <c r="E57" s="486">
        <f>E62+E60+E58</f>
        <v>20718</v>
      </c>
      <c r="F57" s="486">
        <f>F62+F60+F58</f>
        <v>20718</v>
      </c>
      <c r="G57" s="487">
        <f>G62+G60+G58</f>
        <v>0</v>
      </c>
    </row>
    <row r="58" spans="1:7" ht="31.5">
      <c r="A58" s="489">
        <v>900</v>
      </c>
      <c r="B58" s="489"/>
      <c r="C58" s="500"/>
      <c r="D58" s="490" t="s">
        <v>329</v>
      </c>
      <c r="E58" s="498">
        <f>E59</f>
        <v>10000</v>
      </c>
      <c r="F58" s="498">
        <f>F59</f>
        <v>10000</v>
      </c>
      <c r="G58" s="498">
        <f>G59</f>
        <v>0</v>
      </c>
    </row>
    <row r="59" spans="1:7" ht="18.75" customHeight="1">
      <c r="A59" s="489"/>
      <c r="B59" s="493">
        <v>90004</v>
      </c>
      <c r="C59" s="493"/>
      <c r="D59" s="443" t="s">
        <v>332</v>
      </c>
      <c r="E59" s="494">
        <f>F59+G59</f>
        <v>10000</v>
      </c>
      <c r="F59" s="501">
        <v>10000</v>
      </c>
      <c r="G59" s="495"/>
    </row>
    <row r="60" spans="1:7" ht="18.75" customHeight="1">
      <c r="A60" s="489">
        <v>921</v>
      </c>
      <c r="B60" s="489"/>
      <c r="C60" s="489"/>
      <c r="D60" s="490" t="s">
        <v>155</v>
      </c>
      <c r="E60" s="491">
        <f>E61</f>
        <v>6700</v>
      </c>
      <c r="F60" s="491">
        <f>F61</f>
        <v>6700</v>
      </c>
      <c r="G60" s="492">
        <f>G61</f>
        <v>0</v>
      </c>
    </row>
    <row r="61" spans="1:7" ht="18.75" customHeight="1">
      <c r="A61" s="493"/>
      <c r="B61" s="493">
        <v>92195</v>
      </c>
      <c r="C61" s="493"/>
      <c r="D61" s="276" t="s">
        <v>30</v>
      </c>
      <c r="E61" s="494">
        <f>F61+G61</f>
        <v>6700</v>
      </c>
      <c r="F61" s="494">
        <f>900+500+800+500+1000+500+1500+1000</f>
        <v>6700</v>
      </c>
      <c r="G61" s="494"/>
    </row>
    <row r="62" spans="1:7" ht="18.75" customHeight="1">
      <c r="A62" s="489">
        <v>926</v>
      </c>
      <c r="B62" s="489"/>
      <c r="C62" s="489"/>
      <c r="D62" s="497" t="s">
        <v>158</v>
      </c>
      <c r="E62" s="491">
        <f>F62+G62</f>
        <v>4018</v>
      </c>
      <c r="F62" s="498">
        <f>SUM(F63)</f>
        <v>4018</v>
      </c>
      <c r="G62" s="498">
        <f>SUM(G63)</f>
        <v>0</v>
      </c>
    </row>
    <row r="63" spans="1:7" ht="18.75" customHeight="1">
      <c r="A63" s="493"/>
      <c r="B63" s="493">
        <v>92695</v>
      </c>
      <c r="C63" s="493"/>
      <c r="D63" s="276" t="s">
        <v>30</v>
      </c>
      <c r="E63" s="494">
        <f>F63+G63</f>
        <v>4018</v>
      </c>
      <c r="F63" s="495">
        <v>4018</v>
      </c>
      <c r="G63" s="494"/>
    </row>
    <row r="64" spans="1:7" ht="19.5" customHeight="1">
      <c r="A64" s="564" t="s">
        <v>506</v>
      </c>
      <c r="B64" s="564"/>
      <c r="C64" s="564"/>
      <c r="D64" s="564"/>
      <c r="E64" s="502">
        <f aca="true" t="shared" si="1" ref="E64:G65">E65</f>
        <v>5490</v>
      </c>
      <c r="F64" s="502">
        <f t="shared" si="1"/>
        <v>5490</v>
      </c>
      <c r="G64" s="499">
        <f t="shared" si="1"/>
        <v>0</v>
      </c>
    </row>
    <row r="65" spans="1:7" ht="18.75" customHeight="1">
      <c r="A65" s="489">
        <v>710</v>
      </c>
      <c r="B65" s="489"/>
      <c r="C65" s="500"/>
      <c r="D65" s="490" t="s">
        <v>217</v>
      </c>
      <c r="E65" s="498">
        <f t="shared" si="1"/>
        <v>5490</v>
      </c>
      <c r="F65" s="498">
        <f t="shared" si="1"/>
        <v>5490</v>
      </c>
      <c r="G65" s="498">
        <f t="shared" si="1"/>
        <v>0</v>
      </c>
    </row>
    <row r="66" spans="1:7" ht="18.75" customHeight="1">
      <c r="A66" s="489"/>
      <c r="B66" s="493">
        <v>71035</v>
      </c>
      <c r="C66" s="493"/>
      <c r="D66" s="443" t="s">
        <v>55</v>
      </c>
      <c r="E66" s="494">
        <f>F66+G66</f>
        <v>5490</v>
      </c>
      <c r="F66" s="501">
        <v>5490</v>
      </c>
      <c r="G66" s="495"/>
    </row>
    <row r="67" spans="1:7" s="482" customFormat="1" ht="19.5" customHeight="1">
      <c r="A67" s="564" t="s">
        <v>507</v>
      </c>
      <c r="B67" s="564"/>
      <c r="C67" s="564"/>
      <c r="D67" s="564"/>
      <c r="E67" s="486">
        <f>E68</f>
        <v>8370</v>
      </c>
      <c r="F67" s="486">
        <f>F68</f>
        <v>8370</v>
      </c>
      <c r="G67" s="487">
        <f>G68</f>
        <v>0</v>
      </c>
    </row>
    <row r="68" spans="1:7" ht="18.75" customHeight="1">
      <c r="A68" s="489">
        <v>921</v>
      </c>
      <c r="B68" s="489"/>
      <c r="C68" s="489"/>
      <c r="D68" s="490" t="s">
        <v>155</v>
      </c>
      <c r="E68" s="491">
        <f>E70+E69</f>
        <v>8370</v>
      </c>
      <c r="F68" s="491">
        <f>F70+F69</f>
        <v>8370</v>
      </c>
      <c r="G68" s="492">
        <f>G70+G69</f>
        <v>0</v>
      </c>
    </row>
    <row r="69" spans="1:7" ht="18.75" customHeight="1">
      <c r="A69" s="489"/>
      <c r="B69" s="272">
        <v>92109</v>
      </c>
      <c r="C69" s="272"/>
      <c r="D69" s="443" t="s">
        <v>156</v>
      </c>
      <c r="E69" s="494">
        <f>F69+G69</f>
        <v>6970</v>
      </c>
      <c r="F69" s="494">
        <f>4690+400+1674+206</f>
        <v>6970</v>
      </c>
      <c r="G69" s="492"/>
    </row>
    <row r="70" spans="1:7" ht="18.75" customHeight="1">
      <c r="A70" s="493"/>
      <c r="B70" s="493">
        <v>92195</v>
      </c>
      <c r="C70" s="493"/>
      <c r="D70" s="276" t="s">
        <v>30</v>
      </c>
      <c r="E70" s="494">
        <f>F70+G70</f>
        <v>1400</v>
      </c>
      <c r="F70" s="494">
        <f>700+700</f>
        <v>1400</v>
      </c>
      <c r="G70" s="494"/>
    </row>
    <row r="71" spans="1:7" s="482" customFormat="1" ht="19.5" customHeight="1">
      <c r="A71" s="564" t="s">
        <v>508</v>
      </c>
      <c r="B71" s="564"/>
      <c r="C71" s="564"/>
      <c r="D71" s="564"/>
      <c r="E71" s="486">
        <f>E72+E74</f>
        <v>5884</v>
      </c>
      <c r="F71" s="486">
        <f>F72+F74</f>
        <v>5884</v>
      </c>
      <c r="G71" s="487">
        <f>G72+G74</f>
        <v>0</v>
      </c>
    </row>
    <row r="72" spans="1:7" ht="18.75" customHeight="1">
      <c r="A72" s="489">
        <v>600</v>
      </c>
      <c r="B72" s="489"/>
      <c r="C72" s="500"/>
      <c r="D72" s="503" t="s">
        <v>36</v>
      </c>
      <c r="E72" s="498">
        <f>E73</f>
        <v>5000</v>
      </c>
      <c r="F72" s="498">
        <f>F73</f>
        <v>5000</v>
      </c>
      <c r="G72" s="498">
        <f>G73</f>
        <v>0</v>
      </c>
    </row>
    <row r="73" spans="1:7" ht="18.75" customHeight="1">
      <c r="A73" s="489"/>
      <c r="B73" s="272">
        <v>60016</v>
      </c>
      <c r="C73" s="504"/>
      <c r="D73" s="505" t="s">
        <v>37</v>
      </c>
      <c r="E73" s="494">
        <f>F73+G73</f>
        <v>5000</v>
      </c>
      <c r="F73" s="501">
        <v>5000</v>
      </c>
      <c r="G73" s="495"/>
    </row>
    <row r="74" spans="1:7" ht="18.75" customHeight="1">
      <c r="A74" s="489">
        <v>921</v>
      </c>
      <c r="B74" s="489"/>
      <c r="C74" s="489"/>
      <c r="D74" s="490" t="s">
        <v>155</v>
      </c>
      <c r="E74" s="491">
        <f>E75</f>
        <v>884</v>
      </c>
      <c r="F74" s="491">
        <f>F75</f>
        <v>884</v>
      </c>
      <c r="G74" s="492">
        <f>G75</f>
        <v>0</v>
      </c>
    </row>
    <row r="75" spans="1:7" ht="18.75" customHeight="1">
      <c r="A75" s="493"/>
      <c r="B75" s="493">
        <v>92195</v>
      </c>
      <c r="C75" s="493"/>
      <c r="D75" s="276" t="s">
        <v>30</v>
      </c>
      <c r="E75" s="494">
        <f>F75+G75</f>
        <v>884</v>
      </c>
      <c r="F75" s="494">
        <f>384+500</f>
        <v>884</v>
      </c>
      <c r="G75" s="494"/>
    </row>
    <row r="76" spans="1:7" ht="19.5" customHeight="1">
      <c r="A76" s="564" t="s">
        <v>509</v>
      </c>
      <c r="B76" s="564"/>
      <c r="C76" s="564"/>
      <c r="D76" s="564"/>
      <c r="E76" s="486">
        <f>E77</f>
        <v>11374</v>
      </c>
      <c r="F76" s="486">
        <f>F77</f>
        <v>11374</v>
      </c>
      <c r="G76" s="487">
        <f>G77</f>
        <v>0</v>
      </c>
    </row>
    <row r="77" spans="1:7" ht="18.75" customHeight="1">
      <c r="A77" s="489">
        <v>921</v>
      </c>
      <c r="B77" s="489"/>
      <c r="C77" s="489"/>
      <c r="D77" s="490" t="s">
        <v>155</v>
      </c>
      <c r="E77" s="491">
        <f>E79+E78</f>
        <v>11374</v>
      </c>
      <c r="F77" s="491">
        <f>F79+F78</f>
        <v>11374</v>
      </c>
      <c r="G77" s="492">
        <f>G79</f>
        <v>0</v>
      </c>
    </row>
    <row r="78" spans="1:7" ht="18.75" customHeight="1">
      <c r="A78" s="489"/>
      <c r="B78" s="272">
        <v>92109</v>
      </c>
      <c r="C78" s="272"/>
      <c r="D78" s="443" t="s">
        <v>156</v>
      </c>
      <c r="E78" s="494">
        <f>F78+G78</f>
        <v>9874</v>
      </c>
      <c r="F78" s="494">
        <f>7474+2400</f>
        <v>9874</v>
      </c>
      <c r="G78" s="492"/>
    </row>
    <row r="79" spans="1:7" ht="18.75" customHeight="1">
      <c r="A79" s="493"/>
      <c r="B79" s="493">
        <v>92195</v>
      </c>
      <c r="C79" s="493"/>
      <c r="D79" s="276" t="s">
        <v>30</v>
      </c>
      <c r="E79" s="494">
        <f>F79+G79</f>
        <v>1500</v>
      </c>
      <c r="F79" s="494">
        <f>800+500+200</f>
        <v>1500</v>
      </c>
      <c r="G79" s="494"/>
    </row>
    <row r="80" spans="1:7" ht="19.5" customHeight="1">
      <c r="A80" s="564" t="s">
        <v>510</v>
      </c>
      <c r="B80" s="564"/>
      <c r="C80" s="564"/>
      <c r="D80" s="564"/>
      <c r="E80" s="486">
        <f>E85+E83+E81</f>
        <v>7997</v>
      </c>
      <c r="F80" s="486">
        <f>F85+F83+F81</f>
        <v>7997</v>
      </c>
      <c r="G80" s="487">
        <f>G85+G83+G81</f>
        <v>0</v>
      </c>
    </row>
    <row r="81" spans="1:7" ht="31.5">
      <c r="A81" s="489">
        <v>900</v>
      </c>
      <c r="B81" s="489"/>
      <c r="C81" s="500"/>
      <c r="D81" s="490" t="s">
        <v>329</v>
      </c>
      <c r="E81" s="498">
        <f>E82</f>
        <v>5397</v>
      </c>
      <c r="F81" s="498">
        <f>F82</f>
        <v>5397</v>
      </c>
      <c r="G81" s="498">
        <f>G82</f>
        <v>0</v>
      </c>
    </row>
    <row r="82" spans="1:7" ht="18.75" customHeight="1">
      <c r="A82" s="489"/>
      <c r="B82" s="493">
        <v>90004</v>
      </c>
      <c r="C82" s="493"/>
      <c r="D82" s="443" t="s">
        <v>332</v>
      </c>
      <c r="E82" s="494">
        <f>F82+G82</f>
        <v>5397</v>
      </c>
      <c r="F82" s="501">
        <f>1500+3897</f>
        <v>5397</v>
      </c>
      <c r="G82" s="495"/>
    </row>
    <row r="83" spans="1:7" ht="18.75" customHeight="1">
      <c r="A83" s="489">
        <v>921</v>
      </c>
      <c r="B83" s="489"/>
      <c r="C83" s="489"/>
      <c r="D83" s="490" t="s">
        <v>155</v>
      </c>
      <c r="E83" s="491">
        <f>E84</f>
        <v>1600</v>
      </c>
      <c r="F83" s="491">
        <f>F84</f>
        <v>1600</v>
      </c>
      <c r="G83" s="492">
        <f>G84</f>
        <v>0</v>
      </c>
    </row>
    <row r="84" spans="1:7" ht="18.75" customHeight="1">
      <c r="A84" s="493"/>
      <c r="B84" s="493">
        <v>92195</v>
      </c>
      <c r="C84" s="493"/>
      <c r="D84" s="276" t="s">
        <v>30</v>
      </c>
      <c r="E84" s="494">
        <f>F84+G84</f>
        <v>1600</v>
      </c>
      <c r="F84" s="494">
        <f>800+800</f>
        <v>1600</v>
      </c>
      <c r="G84" s="494"/>
    </row>
    <row r="85" spans="1:7" ht="18.75" customHeight="1">
      <c r="A85" s="489">
        <v>926</v>
      </c>
      <c r="B85" s="489"/>
      <c r="C85" s="489"/>
      <c r="D85" s="497" t="s">
        <v>158</v>
      </c>
      <c r="E85" s="491">
        <f>F85+G85</f>
        <v>1000</v>
      </c>
      <c r="F85" s="498">
        <f>SUM(F86)</f>
        <v>1000</v>
      </c>
      <c r="G85" s="498">
        <f>SUM(G86)</f>
        <v>0</v>
      </c>
    </row>
    <row r="86" spans="1:7" ht="18.75" customHeight="1">
      <c r="A86" s="493"/>
      <c r="B86" s="493">
        <v>92695</v>
      </c>
      <c r="C86" s="493"/>
      <c r="D86" s="276" t="s">
        <v>30</v>
      </c>
      <c r="E86" s="494">
        <f>F86+G86</f>
        <v>1000</v>
      </c>
      <c r="F86" s="495">
        <v>1000</v>
      </c>
      <c r="G86" s="494"/>
    </row>
    <row r="87" spans="1:7" ht="19.5" customHeight="1">
      <c r="A87" s="564" t="s">
        <v>511</v>
      </c>
      <c r="B87" s="564"/>
      <c r="C87" s="564"/>
      <c r="D87" s="564"/>
      <c r="E87" s="486">
        <f>E91+E88</f>
        <v>17817</v>
      </c>
      <c r="F87" s="486">
        <f>F91+F88</f>
        <v>17817</v>
      </c>
      <c r="G87" s="487">
        <f>G91+G88</f>
        <v>0</v>
      </c>
    </row>
    <row r="88" spans="1:7" ht="18.75" customHeight="1">
      <c r="A88" s="489">
        <v>921</v>
      </c>
      <c r="B88" s="489"/>
      <c r="C88" s="489"/>
      <c r="D88" s="490" t="s">
        <v>155</v>
      </c>
      <c r="E88" s="491">
        <f>E90+E89</f>
        <v>5862</v>
      </c>
      <c r="F88" s="491">
        <f>F90+F89</f>
        <v>5862</v>
      </c>
      <c r="G88" s="492">
        <f>G90+G89</f>
        <v>0</v>
      </c>
    </row>
    <row r="89" spans="1:7" ht="18.75" customHeight="1">
      <c r="A89" s="489"/>
      <c r="B89" s="272">
        <v>92109</v>
      </c>
      <c r="C89" s="272"/>
      <c r="D89" s="443" t="s">
        <v>156</v>
      </c>
      <c r="E89" s="494">
        <f>F89+G89</f>
        <v>3562</v>
      </c>
      <c r="F89" s="494">
        <v>3562</v>
      </c>
      <c r="G89" s="492"/>
    </row>
    <row r="90" spans="1:7" ht="18.75" customHeight="1">
      <c r="A90" s="493"/>
      <c r="B90" s="493">
        <v>92195</v>
      </c>
      <c r="C90" s="493"/>
      <c r="D90" s="276" t="s">
        <v>30</v>
      </c>
      <c r="E90" s="494">
        <f>F90+G90</f>
        <v>2300</v>
      </c>
      <c r="F90" s="494">
        <f>1000+1000+300</f>
        <v>2300</v>
      </c>
      <c r="G90" s="494"/>
    </row>
    <row r="91" spans="1:7" ht="18.75" customHeight="1">
      <c r="A91" s="489">
        <v>926</v>
      </c>
      <c r="B91" s="489"/>
      <c r="C91" s="489"/>
      <c r="D91" s="497" t="s">
        <v>158</v>
      </c>
      <c r="E91" s="491">
        <f>F91+G91</f>
        <v>11955</v>
      </c>
      <c r="F91" s="498">
        <f>SUM(F92)</f>
        <v>11955</v>
      </c>
      <c r="G91" s="498">
        <f>SUM(G92)</f>
        <v>0</v>
      </c>
    </row>
    <row r="92" spans="1:7" ht="18.75" customHeight="1">
      <c r="A92" s="493"/>
      <c r="B92" s="493">
        <v>92695</v>
      </c>
      <c r="C92" s="493"/>
      <c r="D92" s="276" t="s">
        <v>30</v>
      </c>
      <c r="E92" s="494">
        <f>F92+G92</f>
        <v>11955</v>
      </c>
      <c r="F92" s="495">
        <v>11955</v>
      </c>
      <c r="G92" s="494"/>
    </row>
    <row r="93" spans="1:7" ht="19.5" customHeight="1">
      <c r="A93" s="564" t="s">
        <v>512</v>
      </c>
      <c r="B93" s="564"/>
      <c r="C93" s="564"/>
      <c r="D93" s="564"/>
      <c r="E93" s="486">
        <f>E98+E96+E94</f>
        <v>8992</v>
      </c>
      <c r="F93" s="486">
        <f>F98+F96+F94</f>
        <v>8992</v>
      </c>
      <c r="G93" s="487">
        <f>G98+G96+G94</f>
        <v>0</v>
      </c>
    </row>
    <row r="94" spans="1:7" ht="18.75" customHeight="1">
      <c r="A94" s="489">
        <v>600</v>
      </c>
      <c r="B94" s="489"/>
      <c r="C94" s="500"/>
      <c r="D94" s="503" t="s">
        <v>36</v>
      </c>
      <c r="E94" s="498">
        <f>E95</f>
        <v>6792</v>
      </c>
      <c r="F94" s="498">
        <f>F95</f>
        <v>6792</v>
      </c>
      <c r="G94" s="498">
        <f>G95</f>
        <v>0</v>
      </c>
    </row>
    <row r="95" spans="1:7" ht="18.75" customHeight="1">
      <c r="A95" s="489"/>
      <c r="B95" s="272">
        <v>60016</v>
      </c>
      <c r="C95" s="504"/>
      <c r="D95" s="505" t="s">
        <v>37</v>
      </c>
      <c r="E95" s="494">
        <f>F95+G95</f>
        <v>6792</v>
      </c>
      <c r="F95" s="501">
        <v>6792</v>
      </c>
      <c r="G95" s="495"/>
    </row>
    <row r="96" spans="1:7" ht="18.75" customHeight="1">
      <c r="A96" s="489">
        <v>921</v>
      </c>
      <c r="B96" s="489"/>
      <c r="C96" s="489"/>
      <c r="D96" s="490" t="s">
        <v>155</v>
      </c>
      <c r="E96" s="491">
        <f>E97</f>
        <v>1900</v>
      </c>
      <c r="F96" s="491">
        <f>F97</f>
        <v>1900</v>
      </c>
      <c r="G96" s="492">
        <f>G97</f>
        <v>0</v>
      </c>
    </row>
    <row r="97" spans="1:7" ht="18.75" customHeight="1">
      <c r="A97" s="493"/>
      <c r="B97" s="493">
        <v>92195</v>
      </c>
      <c r="C97" s="493"/>
      <c r="D97" s="276" t="s">
        <v>30</v>
      </c>
      <c r="E97" s="494">
        <f>F97+G97</f>
        <v>1900</v>
      </c>
      <c r="F97" s="494">
        <f>1200+700</f>
        <v>1900</v>
      </c>
      <c r="G97" s="494"/>
    </row>
    <row r="98" spans="1:7" ht="18.75" customHeight="1">
      <c r="A98" s="489">
        <v>926</v>
      </c>
      <c r="B98" s="489"/>
      <c r="C98" s="489"/>
      <c r="D98" s="497" t="s">
        <v>158</v>
      </c>
      <c r="E98" s="491">
        <f>F98+G98</f>
        <v>300</v>
      </c>
      <c r="F98" s="498">
        <f>SUM(F99)</f>
        <v>300</v>
      </c>
      <c r="G98" s="498">
        <f>SUM(G99)</f>
        <v>0</v>
      </c>
    </row>
    <row r="99" spans="1:7" ht="18.75" customHeight="1">
      <c r="A99" s="493"/>
      <c r="B99" s="493">
        <v>92695</v>
      </c>
      <c r="C99" s="493"/>
      <c r="D99" s="276" t="s">
        <v>30</v>
      </c>
      <c r="E99" s="494">
        <f>F99+G99</f>
        <v>300</v>
      </c>
      <c r="F99" s="495">
        <v>300</v>
      </c>
      <c r="G99" s="494"/>
    </row>
    <row r="100" spans="1:7" ht="19.5" customHeight="1">
      <c r="A100" s="564" t="s">
        <v>513</v>
      </c>
      <c r="B100" s="564"/>
      <c r="C100" s="564"/>
      <c r="D100" s="564"/>
      <c r="E100" s="486">
        <f>E103+E101</f>
        <v>4765</v>
      </c>
      <c r="F100" s="486">
        <f>F103+F101</f>
        <v>4765</v>
      </c>
      <c r="G100" s="487">
        <f>G103+G101</f>
        <v>0</v>
      </c>
    </row>
    <row r="101" spans="1:7" ht="31.5">
      <c r="A101" s="489">
        <v>900</v>
      </c>
      <c r="B101" s="489"/>
      <c r="C101" s="489"/>
      <c r="D101" s="490" t="s">
        <v>329</v>
      </c>
      <c r="E101" s="498">
        <f>E102</f>
        <v>2365</v>
      </c>
      <c r="F101" s="498">
        <f>F102</f>
        <v>2365</v>
      </c>
      <c r="G101" s="498">
        <f>G102</f>
        <v>0</v>
      </c>
    </row>
    <row r="102" spans="1:7" ht="18.75" customHeight="1">
      <c r="A102" s="489"/>
      <c r="B102" s="272">
        <v>90015</v>
      </c>
      <c r="C102" s="272"/>
      <c r="D102" s="443" t="s">
        <v>334</v>
      </c>
      <c r="E102" s="494">
        <f>F102+G102</f>
        <v>2365</v>
      </c>
      <c r="F102" s="501">
        <v>2365</v>
      </c>
      <c r="G102" s="495"/>
    </row>
    <row r="103" spans="1:7" ht="18.75" customHeight="1">
      <c r="A103" s="489">
        <v>921</v>
      </c>
      <c r="B103" s="489"/>
      <c r="C103" s="489"/>
      <c r="D103" s="490" t="s">
        <v>155</v>
      </c>
      <c r="E103" s="491">
        <f>E104</f>
        <v>2400</v>
      </c>
      <c r="F103" s="491">
        <f>F104</f>
        <v>2400</v>
      </c>
      <c r="G103" s="492">
        <f>G104</f>
        <v>0</v>
      </c>
    </row>
    <row r="104" spans="1:7" ht="18.75" customHeight="1">
      <c r="A104" s="493"/>
      <c r="B104" s="493">
        <v>92195</v>
      </c>
      <c r="C104" s="493"/>
      <c r="D104" s="276" t="s">
        <v>30</v>
      </c>
      <c r="E104" s="494">
        <f>F104+G104</f>
        <v>2400</v>
      </c>
      <c r="F104" s="494">
        <f>500+1900</f>
        <v>2400</v>
      </c>
      <c r="G104" s="494"/>
    </row>
    <row r="105" spans="1:7" ht="19.5" customHeight="1">
      <c r="A105" s="564" t="s">
        <v>514</v>
      </c>
      <c r="B105" s="564"/>
      <c r="C105" s="564"/>
      <c r="D105" s="564"/>
      <c r="E105" s="486">
        <f>E106</f>
        <v>5967</v>
      </c>
      <c r="F105" s="486">
        <f>F106</f>
        <v>5967</v>
      </c>
      <c r="G105" s="487">
        <f>G106</f>
        <v>0</v>
      </c>
    </row>
    <row r="106" spans="1:7" ht="18.75" customHeight="1">
      <c r="A106" s="489">
        <v>921</v>
      </c>
      <c r="B106" s="489"/>
      <c r="C106" s="489"/>
      <c r="D106" s="490" t="s">
        <v>155</v>
      </c>
      <c r="E106" s="491">
        <f>E108+E107</f>
        <v>5967</v>
      </c>
      <c r="F106" s="491">
        <f>F108+F107</f>
        <v>5967</v>
      </c>
      <c r="G106" s="492">
        <f>G108+G107</f>
        <v>0</v>
      </c>
    </row>
    <row r="107" spans="1:7" ht="18.75" customHeight="1">
      <c r="A107" s="489"/>
      <c r="B107" s="272">
        <v>92109</v>
      </c>
      <c r="C107" s="272"/>
      <c r="D107" s="443" t="s">
        <v>156</v>
      </c>
      <c r="E107" s="494">
        <f>F107+G107</f>
        <v>4767</v>
      </c>
      <c r="F107" s="494">
        <f>800+200+2573+1194</f>
        <v>4767</v>
      </c>
      <c r="G107" s="492"/>
    </row>
    <row r="108" spans="1:7" ht="18.75" customHeight="1">
      <c r="A108" s="493"/>
      <c r="B108" s="493">
        <v>92195</v>
      </c>
      <c r="C108" s="493"/>
      <c r="D108" s="276" t="s">
        <v>30</v>
      </c>
      <c r="E108" s="494">
        <f>F108+G108</f>
        <v>1200</v>
      </c>
      <c r="F108" s="494">
        <f>400+250+250+300</f>
        <v>1200</v>
      </c>
      <c r="G108" s="494"/>
    </row>
    <row r="109" spans="1:7" ht="18.75" customHeight="1">
      <c r="A109" s="565" t="s">
        <v>163</v>
      </c>
      <c r="B109" s="565"/>
      <c r="C109" s="565"/>
      <c r="D109" s="565"/>
      <c r="E109" s="506">
        <f>E33+E29+E23+E20+E12+E5+E44+E52+E57+E67+E71+E105+E100+E93+E87+E76+E37+E64+E80</f>
        <v>182586</v>
      </c>
      <c r="F109" s="506">
        <f>F33+F29+F23+F20+F12+F5+F44+F52+F57+F67+F71+F105+F100+F93+F87+F76+F37+F64+F80</f>
        <v>182586</v>
      </c>
      <c r="G109" s="507">
        <f>G33+G29+G23+G20+G12+G5+G44+G52+G57+G67+G71+G105+G100+G93+G87+G76+G37+G64+G80</f>
        <v>0</v>
      </c>
    </row>
    <row r="110" spans="2:5" ht="15.75">
      <c r="B110" s="463"/>
      <c r="C110" s="463"/>
      <c r="D110" s="463"/>
      <c r="E110" s="463"/>
    </row>
    <row r="111" spans="1:5" ht="15" customHeight="1">
      <c r="A111" s="566"/>
      <c r="B111" s="566"/>
      <c r="C111" s="566"/>
      <c r="D111" s="566"/>
      <c r="E111" s="463"/>
    </row>
    <row r="112" spans="2:5" ht="15.75">
      <c r="B112" s="463"/>
      <c r="C112" s="463"/>
      <c r="D112" s="463"/>
      <c r="E112" s="463"/>
    </row>
    <row r="113" spans="2:5" ht="15.75">
      <c r="B113" s="463"/>
      <c r="C113" s="463"/>
      <c r="D113" s="463"/>
      <c r="E113" s="463"/>
    </row>
    <row r="114" spans="2:5" ht="15.75">
      <c r="B114" s="463"/>
      <c r="C114" s="463"/>
      <c r="D114" s="463"/>
      <c r="E114" s="463"/>
    </row>
    <row r="115" spans="2:5" ht="15.75">
      <c r="B115" s="463"/>
      <c r="C115" s="463"/>
      <c r="D115" s="463"/>
      <c r="E115" s="463"/>
    </row>
    <row r="116" spans="2:5" ht="15.75">
      <c r="B116" s="463"/>
      <c r="C116" s="463"/>
      <c r="D116" s="463"/>
      <c r="E116" s="463"/>
    </row>
    <row r="117" spans="2:5" ht="15.75">
      <c r="B117" s="463"/>
      <c r="C117" s="463"/>
      <c r="D117" s="463"/>
      <c r="E117" s="463"/>
    </row>
    <row r="118" spans="2:5" ht="15.75">
      <c r="B118" s="463"/>
      <c r="C118" s="463"/>
      <c r="D118" s="463"/>
      <c r="E118" s="463"/>
    </row>
    <row r="119" spans="2:5" ht="15.75">
      <c r="B119" s="463"/>
      <c r="C119" s="463"/>
      <c r="D119" s="463"/>
      <c r="E119" s="463"/>
    </row>
  </sheetData>
  <sheetProtection selectLockedCells="1" selectUnlockedCells="1"/>
  <mergeCells count="28">
    <mergeCell ref="A111:D111"/>
    <mergeCell ref="A93:D93"/>
    <mergeCell ref="A100:D100"/>
    <mergeCell ref="A105:D105"/>
    <mergeCell ref="A109:D109"/>
    <mergeCell ref="A71:D71"/>
    <mergeCell ref="A76:D76"/>
    <mergeCell ref="A80:D80"/>
    <mergeCell ref="A87:D87"/>
    <mergeCell ref="A52:D52"/>
    <mergeCell ref="A57:D57"/>
    <mergeCell ref="A64:D64"/>
    <mergeCell ref="A67:D67"/>
    <mergeCell ref="A29:D29"/>
    <mergeCell ref="A33:D33"/>
    <mergeCell ref="A37:D37"/>
    <mergeCell ref="A44:D44"/>
    <mergeCell ref="A5:D5"/>
    <mergeCell ref="A12:D12"/>
    <mergeCell ref="A20:D20"/>
    <mergeCell ref="A23:D23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portrait" paperSize="9" r:id="rId1"/>
  <headerFooter alignWithMargins="0">
    <oddHeader>&amp;R&amp;"Times New Roman,Normalny"&amp;12Załącznik Nr 28 do Uchwały  Nr III/12/2010 Rady Miejskiej w Barlinku z dnia 30 grudnia 2010</oddHeader>
    <oddFooter>&amp;C&amp;"Times New Roman,Normalny"&amp;12Strona &amp;P z &amp;N</oddFooter>
  </headerFooter>
  <rowBreaks count="2" manualBreakCount="2">
    <brk id="36" max="255" man="1"/>
    <brk id="74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31"/>
  <sheetViews>
    <sheetView showGridLines="0" defaultGridColor="0" view="pageBreakPreview" zoomScaleSheetLayoutView="100" colorId="15" workbookViewId="0" topLeftCell="A1">
      <selection activeCell="I23" sqref="I23"/>
    </sheetView>
  </sheetViews>
  <sheetFormatPr defaultColWidth="9.00390625" defaultRowHeight="12.75"/>
  <cols>
    <col min="1" max="1" width="9.625" style="15" customWidth="1"/>
    <col min="2" max="2" width="5.25390625" style="14" customWidth="1"/>
    <col min="3" max="3" width="69.625" style="17" customWidth="1"/>
    <col min="4" max="4" width="15.25390625" style="92" customWidth="1"/>
    <col min="5" max="16384" width="9.125" style="15" customWidth="1"/>
  </cols>
  <sheetData>
    <row r="1" spans="1:10" ht="45" customHeight="1">
      <c r="A1" s="567" t="s">
        <v>515</v>
      </c>
      <c r="B1" s="567"/>
      <c r="C1" s="567"/>
      <c r="D1" s="567"/>
      <c r="E1" s="508"/>
      <c r="F1" s="508"/>
      <c r="G1" s="429"/>
      <c r="H1" s="508"/>
      <c r="I1" s="508"/>
      <c r="J1" s="508"/>
    </row>
    <row r="2" spans="1:8" ht="18.75" customHeight="1">
      <c r="A2" s="509" t="s">
        <v>21</v>
      </c>
      <c r="B2" s="510"/>
      <c r="C2" s="511" t="s">
        <v>516</v>
      </c>
      <c r="D2" s="512" t="s">
        <v>187</v>
      </c>
      <c r="E2" s="16"/>
      <c r="F2" s="16"/>
      <c r="G2" s="16"/>
      <c r="H2" s="16"/>
    </row>
    <row r="3" spans="1:8" ht="18.75" customHeight="1">
      <c r="A3" s="568" t="s">
        <v>517</v>
      </c>
      <c r="B3" s="568"/>
      <c r="C3" s="568"/>
      <c r="D3" s="30">
        <f>D4</f>
        <v>141500</v>
      </c>
      <c r="E3" s="16"/>
      <c r="F3" s="16"/>
      <c r="G3" s="16"/>
      <c r="H3" s="16"/>
    </row>
    <row r="4" spans="1:8" ht="32.25" customHeight="1">
      <c r="A4" s="44">
        <v>90019</v>
      </c>
      <c r="B4" s="28"/>
      <c r="C4" s="513" t="s">
        <v>149</v>
      </c>
      <c r="D4" s="30">
        <f>SUM(D5:D7)</f>
        <v>141500</v>
      </c>
      <c r="E4" s="16"/>
      <c r="F4" s="16"/>
      <c r="G4" s="16"/>
      <c r="H4" s="16"/>
    </row>
    <row r="5" spans="1:8" ht="18.75" customHeight="1">
      <c r="A5" s="46"/>
      <c r="B5" s="31" t="s">
        <v>350</v>
      </c>
      <c r="C5" s="32" t="s">
        <v>518</v>
      </c>
      <c r="D5" s="33">
        <v>139000</v>
      </c>
      <c r="E5" s="16"/>
      <c r="F5" s="16"/>
      <c r="G5" s="16"/>
      <c r="H5" s="16"/>
    </row>
    <row r="6" spans="1:8" ht="18.75" customHeight="1">
      <c r="A6" s="46"/>
      <c r="B6" s="31" t="s">
        <v>351</v>
      </c>
      <c r="C6" s="32" t="s">
        <v>519</v>
      </c>
      <c r="D6" s="33">
        <v>2000</v>
      </c>
      <c r="E6" s="16"/>
      <c r="F6" s="16"/>
      <c r="G6" s="16"/>
      <c r="H6" s="16"/>
    </row>
    <row r="7" spans="1:8" ht="18.75" customHeight="1">
      <c r="A7" s="46"/>
      <c r="B7" s="31" t="s">
        <v>352</v>
      </c>
      <c r="C7" s="32" t="s">
        <v>520</v>
      </c>
      <c r="D7" s="33">
        <v>500</v>
      </c>
      <c r="E7" s="16"/>
      <c r="F7" s="16"/>
      <c r="G7" s="16"/>
      <c r="H7" s="16"/>
    </row>
    <row r="8" spans="1:8" ht="18.75" customHeight="1">
      <c r="A8" s="568" t="s">
        <v>521</v>
      </c>
      <c r="B8" s="568"/>
      <c r="C8" s="568"/>
      <c r="D8" s="30">
        <f>D11+D10</f>
        <v>197500</v>
      </c>
      <c r="E8" s="16"/>
      <c r="F8" s="16"/>
      <c r="G8" s="16"/>
      <c r="H8" s="16"/>
    </row>
    <row r="9" spans="1:8" ht="18.75" customHeight="1">
      <c r="A9" s="36">
        <v>90001</v>
      </c>
      <c r="B9" s="36"/>
      <c r="C9" s="45" t="s">
        <v>330</v>
      </c>
      <c r="D9" s="30">
        <f>D10</f>
        <v>80000</v>
      </c>
      <c r="E9" s="16"/>
      <c r="F9" s="16"/>
      <c r="G9" s="16"/>
      <c r="H9" s="16"/>
    </row>
    <row r="10" spans="1:8" ht="18.75" customHeight="1">
      <c r="A10" s="514"/>
      <c r="B10" s="514">
        <v>1</v>
      </c>
      <c r="C10" s="515" t="s">
        <v>522</v>
      </c>
      <c r="D10" s="33">
        <v>80000</v>
      </c>
      <c r="E10" s="16"/>
      <c r="F10" s="16"/>
      <c r="G10" s="16"/>
      <c r="H10" s="16"/>
    </row>
    <row r="11" spans="1:8" ht="32.25" customHeight="1">
      <c r="A11" s="44">
        <v>90019</v>
      </c>
      <c r="B11" s="31"/>
      <c r="C11" s="513" t="s">
        <v>149</v>
      </c>
      <c r="D11" s="33">
        <f>D12+D15+D22</f>
        <v>117500</v>
      </c>
      <c r="E11" s="16"/>
      <c r="F11" s="16"/>
      <c r="G11" s="16"/>
      <c r="H11" s="16"/>
    </row>
    <row r="12" spans="1:8" ht="32.25" customHeight="1">
      <c r="A12" s="516"/>
      <c r="B12" s="517" t="s">
        <v>350</v>
      </c>
      <c r="C12" s="74" t="s">
        <v>523</v>
      </c>
      <c r="D12" s="86">
        <f>SUM(D13:D14)</f>
        <v>21000</v>
      </c>
      <c r="E12" s="16"/>
      <c r="F12" s="16"/>
      <c r="G12" s="16"/>
      <c r="H12" s="16"/>
    </row>
    <row r="13" spans="1:8" ht="18" customHeight="1">
      <c r="A13" s="516"/>
      <c r="B13" s="517"/>
      <c r="C13" s="518" t="s">
        <v>524</v>
      </c>
      <c r="D13" s="86">
        <v>13000</v>
      </c>
      <c r="E13" s="16"/>
      <c r="F13" s="16"/>
      <c r="G13" s="16"/>
      <c r="H13" s="16"/>
    </row>
    <row r="14" spans="1:8" ht="18" customHeight="1">
      <c r="A14" s="516"/>
      <c r="B14" s="517"/>
      <c r="C14" s="518" t="s">
        <v>525</v>
      </c>
      <c r="D14" s="86">
        <v>8000</v>
      </c>
      <c r="E14" s="16"/>
      <c r="F14" s="16"/>
      <c r="G14" s="16"/>
      <c r="H14" s="16"/>
    </row>
    <row r="15" spans="1:8" ht="18.75" customHeight="1">
      <c r="A15" s="516"/>
      <c r="B15" s="517" t="s">
        <v>351</v>
      </c>
      <c r="C15" s="74" t="s">
        <v>526</v>
      </c>
      <c r="D15" s="86">
        <f>SUM(D16:D21)</f>
        <v>69500</v>
      </c>
      <c r="E15" s="16"/>
      <c r="F15" s="16"/>
      <c r="G15" s="16"/>
      <c r="H15" s="16"/>
    </row>
    <row r="16" spans="1:8" ht="18.75" customHeight="1">
      <c r="A16" s="516"/>
      <c r="B16" s="517"/>
      <c r="C16" s="74" t="s">
        <v>527</v>
      </c>
      <c r="D16" s="86">
        <v>11500</v>
      </c>
      <c r="E16" s="16"/>
      <c r="F16" s="16"/>
      <c r="G16" s="16"/>
      <c r="H16" s="16"/>
    </row>
    <row r="17" spans="1:8" ht="18.75" customHeight="1">
      <c r="A17" s="516"/>
      <c r="B17" s="517"/>
      <c r="C17" s="74" t="s">
        <v>528</v>
      </c>
      <c r="D17" s="86">
        <v>7000</v>
      </c>
      <c r="E17" s="16"/>
      <c r="F17" s="16"/>
      <c r="G17" s="16"/>
      <c r="H17" s="16"/>
    </row>
    <row r="18" spans="1:8" ht="32.25" customHeight="1">
      <c r="A18" s="516"/>
      <c r="B18" s="517"/>
      <c r="C18" s="74" t="s">
        <v>529</v>
      </c>
      <c r="D18" s="86">
        <v>4000</v>
      </c>
      <c r="E18" s="16"/>
      <c r="F18" s="16"/>
      <c r="G18" s="16"/>
      <c r="H18" s="16"/>
    </row>
    <row r="19" spans="1:8" ht="32.25" customHeight="1">
      <c r="A19" s="516"/>
      <c r="B19" s="517"/>
      <c r="C19" s="74" t="s">
        <v>530</v>
      </c>
      <c r="D19" s="86">
        <v>17000</v>
      </c>
      <c r="E19" s="16"/>
      <c r="F19" s="16"/>
      <c r="G19" s="16"/>
      <c r="H19" s="16"/>
    </row>
    <row r="20" spans="1:8" ht="18.75" customHeight="1">
      <c r="A20" s="516"/>
      <c r="B20" s="517"/>
      <c r="C20" s="74" t="s">
        <v>531</v>
      </c>
      <c r="D20" s="86">
        <v>14000</v>
      </c>
      <c r="E20" s="16"/>
      <c r="F20" s="16"/>
      <c r="G20" s="16"/>
      <c r="H20" s="16"/>
    </row>
    <row r="21" spans="1:8" ht="32.25" customHeight="1">
      <c r="A21" s="516"/>
      <c r="B21" s="517"/>
      <c r="C21" s="74" t="s">
        <v>532</v>
      </c>
      <c r="D21" s="86">
        <v>16000</v>
      </c>
      <c r="E21" s="16"/>
      <c r="F21" s="16"/>
      <c r="G21" s="16"/>
      <c r="H21" s="16"/>
    </row>
    <row r="22" spans="1:8" ht="18.75" customHeight="1">
      <c r="A22" s="516"/>
      <c r="B22" s="517" t="s">
        <v>352</v>
      </c>
      <c r="C22" s="74" t="s">
        <v>533</v>
      </c>
      <c r="D22" s="86">
        <f>D23+D24+D25</f>
        <v>27000</v>
      </c>
      <c r="E22" s="16"/>
      <c r="F22" s="16"/>
      <c r="G22" s="16"/>
      <c r="H22" s="16"/>
    </row>
    <row r="23" spans="1:8" s="53" customFormat="1" ht="18.75" customHeight="1">
      <c r="A23" s="516"/>
      <c r="B23" s="517"/>
      <c r="C23" s="74" t="s">
        <v>534</v>
      </c>
      <c r="D23" s="86">
        <v>10000</v>
      </c>
      <c r="E23" s="519"/>
      <c r="F23" s="519"/>
      <c r="G23" s="519"/>
      <c r="H23" s="519"/>
    </row>
    <row r="24" spans="1:8" s="53" customFormat="1" ht="18.75" customHeight="1">
      <c r="A24" s="516"/>
      <c r="B24" s="517"/>
      <c r="C24" s="74" t="s">
        <v>535</v>
      </c>
      <c r="D24" s="86">
        <v>7000</v>
      </c>
      <c r="E24" s="519"/>
      <c r="F24" s="519"/>
      <c r="G24" s="519"/>
      <c r="H24" s="519"/>
    </row>
    <row r="25" spans="1:8" s="53" customFormat="1" ht="18.75" customHeight="1">
      <c r="A25" s="516"/>
      <c r="B25" s="517"/>
      <c r="C25" s="74" t="s">
        <v>536</v>
      </c>
      <c r="D25" s="86">
        <v>10000</v>
      </c>
      <c r="E25" s="519"/>
      <c r="F25" s="519"/>
      <c r="G25" s="519"/>
      <c r="H25" s="519"/>
    </row>
    <row r="26" spans="1:8" ht="15.75">
      <c r="A26" s="16"/>
      <c r="B26" s="520"/>
      <c r="C26" s="521"/>
      <c r="D26" s="522"/>
      <c r="E26" s="16"/>
      <c r="F26" s="16"/>
      <c r="G26" s="16"/>
      <c r="H26" s="16"/>
    </row>
    <row r="27" spans="1:8" ht="15.75">
      <c r="A27" s="16"/>
      <c r="B27" s="520"/>
      <c r="C27" s="521"/>
      <c r="D27" s="522"/>
      <c r="E27" s="16"/>
      <c r="F27" s="16"/>
      <c r="G27" s="16"/>
      <c r="H27" s="16"/>
    </row>
    <row r="28" spans="1:8" ht="15.75">
      <c r="A28" s="16"/>
      <c r="B28" s="520"/>
      <c r="C28" s="521"/>
      <c r="D28" s="522"/>
      <c r="E28" s="16"/>
      <c r="F28" s="16"/>
      <c r="G28" s="16"/>
      <c r="H28" s="16"/>
    </row>
    <row r="29" spans="1:8" ht="15.75">
      <c r="A29" s="16"/>
      <c r="B29" s="520"/>
      <c r="C29" s="521"/>
      <c r="D29" s="522"/>
      <c r="E29" s="16"/>
      <c r="F29" s="16"/>
      <c r="G29" s="16"/>
      <c r="H29" s="16"/>
    </row>
    <row r="30" spans="1:8" ht="15.75">
      <c r="A30" s="16"/>
      <c r="B30" s="520"/>
      <c r="C30" s="521"/>
      <c r="D30" s="522"/>
      <c r="E30" s="16"/>
      <c r="F30" s="16"/>
      <c r="G30" s="16"/>
      <c r="H30" s="16"/>
    </row>
    <row r="31" spans="1:8" ht="15.75">
      <c r="A31" s="16"/>
      <c r="B31" s="520"/>
      <c r="C31" s="521"/>
      <c r="D31" s="522"/>
      <c r="E31" s="16"/>
      <c r="F31" s="16"/>
      <c r="G31" s="16"/>
      <c r="H31" s="16"/>
    </row>
  </sheetData>
  <sheetProtection selectLockedCells="1" selectUnlockedCells="1"/>
  <mergeCells count="3">
    <mergeCell ref="A1:D1"/>
    <mergeCell ref="A3:C3"/>
    <mergeCell ref="A8:C8"/>
  </mergeCells>
  <printOptions/>
  <pageMargins left="0.7875" right="0.7875" top="1.0527777777777778" bottom="1.0527777777777778" header="0.7875" footer="0.7875"/>
  <pageSetup horizontalDpi="300" verticalDpi="300" orientation="portrait" paperSize="9" scale="87" r:id="rId1"/>
  <headerFooter alignWithMargins="0">
    <oddHeader>&amp;R&amp;"Times New Roman,Normalny"&amp;12Załącznik Nr 29 do Uchwały  Nr III/12/2010 Rady Miejskiej w Barlinku z dnia 30 grudnia 2010</oddHeader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view="pageBreakPreview" zoomScaleSheetLayoutView="100" colorId="15" workbookViewId="0" topLeftCell="A4">
      <selection activeCell="A22" sqref="A22"/>
    </sheetView>
  </sheetViews>
  <sheetFormatPr defaultColWidth="9.00390625" defaultRowHeight="12.75"/>
  <cols>
    <col min="1" max="1" width="6.375" style="15" customWidth="1"/>
    <col min="2" max="2" width="8.125" style="15" customWidth="1"/>
    <col min="3" max="3" width="6.00390625" style="15" customWidth="1"/>
    <col min="4" max="4" width="85.125" style="17" customWidth="1"/>
    <col min="5" max="6" width="11.625" style="17" customWidth="1"/>
    <col min="7" max="7" width="13.00390625" style="17" customWidth="1"/>
    <col min="8" max="8" width="10.75390625" style="17" customWidth="1"/>
    <col min="9" max="9" width="13.00390625" style="92" customWidth="1"/>
    <col min="10" max="16384" width="11.625" style="15" customWidth="1"/>
  </cols>
  <sheetData>
    <row r="1" spans="1:9" ht="59.25" customHeight="1">
      <c r="A1" s="523" t="s">
        <v>164</v>
      </c>
      <c r="B1" s="523"/>
      <c r="C1" s="523"/>
      <c r="D1" s="523"/>
      <c r="E1" s="523"/>
      <c r="F1" s="523"/>
      <c r="G1" s="523"/>
      <c r="H1" s="523"/>
      <c r="I1" s="523"/>
    </row>
    <row r="2" spans="1:9" s="93" customFormat="1" ht="13.5" customHeight="1">
      <c r="A2" s="525" t="s">
        <v>1</v>
      </c>
      <c r="B2" s="525" t="s">
        <v>21</v>
      </c>
      <c r="C2" s="525" t="s">
        <v>22</v>
      </c>
      <c r="D2" s="525" t="s">
        <v>23</v>
      </c>
      <c r="E2" s="525" t="s">
        <v>24</v>
      </c>
      <c r="F2" s="526" t="s">
        <v>25</v>
      </c>
      <c r="G2" s="526"/>
      <c r="H2" s="526"/>
      <c r="I2" s="526"/>
    </row>
    <row r="3" spans="1:9" s="94" customFormat="1" ht="13.5" customHeight="1">
      <c r="A3" s="525"/>
      <c r="B3" s="525"/>
      <c r="C3" s="525"/>
      <c r="D3" s="525"/>
      <c r="E3" s="525"/>
      <c r="F3" s="525" t="s">
        <v>4</v>
      </c>
      <c r="G3" s="19" t="s">
        <v>25</v>
      </c>
      <c r="H3" s="525" t="s">
        <v>5</v>
      </c>
      <c r="I3" s="19" t="s">
        <v>25</v>
      </c>
    </row>
    <row r="4" spans="1:9" s="94" customFormat="1" ht="84">
      <c r="A4" s="525"/>
      <c r="B4" s="525"/>
      <c r="C4" s="525"/>
      <c r="D4" s="525"/>
      <c r="E4" s="525"/>
      <c r="F4" s="525"/>
      <c r="G4" s="95" t="s">
        <v>26</v>
      </c>
      <c r="H4" s="525"/>
      <c r="I4" s="95" t="s">
        <v>26</v>
      </c>
    </row>
    <row r="5" spans="1:9" s="94" customFormat="1" ht="12.75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>
        <v>7</v>
      </c>
      <c r="H5" s="24">
        <v>8</v>
      </c>
      <c r="I5" s="24">
        <v>9</v>
      </c>
    </row>
    <row r="6" spans="1:9" ht="15.75">
      <c r="A6" s="43">
        <v>750</v>
      </c>
      <c r="B6" s="43"/>
      <c r="C6" s="43"/>
      <c r="D6" s="26" t="s">
        <v>56</v>
      </c>
      <c r="E6" s="35">
        <f aca="true" t="shared" si="0" ref="E6:I7">E7</f>
        <v>146200</v>
      </c>
      <c r="F6" s="35">
        <f t="shared" si="0"/>
        <v>146200</v>
      </c>
      <c r="G6" s="35">
        <f t="shared" si="0"/>
        <v>0</v>
      </c>
      <c r="H6" s="35">
        <f t="shared" si="0"/>
        <v>0</v>
      </c>
      <c r="I6" s="35">
        <f t="shared" si="0"/>
        <v>0</v>
      </c>
    </row>
    <row r="7" spans="1:9" ht="15.75">
      <c r="A7" s="44"/>
      <c r="B7" s="46">
        <v>75011</v>
      </c>
      <c r="C7" s="46"/>
      <c r="D7" s="40" t="s">
        <v>165</v>
      </c>
      <c r="E7" s="41">
        <f t="shared" si="0"/>
        <v>146200</v>
      </c>
      <c r="F7" s="41">
        <f t="shared" si="0"/>
        <v>146200</v>
      </c>
      <c r="G7" s="41">
        <f t="shared" si="0"/>
        <v>0</v>
      </c>
      <c r="H7" s="41">
        <f t="shared" si="0"/>
        <v>0</v>
      </c>
      <c r="I7" s="41">
        <f t="shared" si="0"/>
        <v>0</v>
      </c>
    </row>
    <row r="8" spans="1:9" ht="31.5">
      <c r="A8" s="44"/>
      <c r="B8" s="46"/>
      <c r="C8" s="46">
        <v>2010</v>
      </c>
      <c r="D8" s="40" t="s">
        <v>166</v>
      </c>
      <c r="E8" s="96">
        <f>F8+H8</f>
        <v>146200</v>
      </c>
      <c r="F8" s="41">
        <v>146200</v>
      </c>
      <c r="G8" s="41"/>
      <c r="H8" s="41"/>
      <c r="I8" s="41"/>
    </row>
    <row r="9" spans="1:9" ht="31.5">
      <c r="A9" s="43">
        <v>751</v>
      </c>
      <c r="B9" s="43"/>
      <c r="C9" s="43"/>
      <c r="D9" s="97" t="s">
        <v>167</v>
      </c>
      <c r="E9" s="98">
        <f aca="true" t="shared" si="1" ref="E9:I10">E10</f>
        <v>3270</v>
      </c>
      <c r="F9" s="98">
        <f t="shared" si="1"/>
        <v>3270</v>
      </c>
      <c r="G9" s="98">
        <f t="shared" si="1"/>
        <v>0</v>
      </c>
      <c r="H9" s="98">
        <f t="shared" si="1"/>
        <v>0</v>
      </c>
      <c r="I9" s="98">
        <f t="shared" si="1"/>
        <v>0</v>
      </c>
    </row>
    <row r="10" spans="1:9" ht="15.75">
      <c r="A10" s="44"/>
      <c r="B10" s="44">
        <v>75101</v>
      </c>
      <c r="C10" s="44"/>
      <c r="D10" s="99" t="s">
        <v>168</v>
      </c>
      <c r="E10" s="100">
        <f t="shared" si="1"/>
        <v>3270</v>
      </c>
      <c r="F10" s="100">
        <f t="shared" si="1"/>
        <v>3270</v>
      </c>
      <c r="G10" s="100">
        <f t="shared" si="1"/>
        <v>0</v>
      </c>
      <c r="H10" s="100">
        <f t="shared" si="1"/>
        <v>0</v>
      </c>
      <c r="I10" s="100">
        <f t="shared" si="1"/>
        <v>0</v>
      </c>
    </row>
    <row r="11" spans="1:9" ht="31.5">
      <c r="A11" s="44"/>
      <c r="B11" s="46"/>
      <c r="C11" s="46">
        <v>2010</v>
      </c>
      <c r="D11" s="40" t="s">
        <v>166</v>
      </c>
      <c r="E11" s="96">
        <f>F11+H11</f>
        <v>3270</v>
      </c>
      <c r="F11" s="41">
        <v>3270</v>
      </c>
      <c r="G11" s="41"/>
      <c r="H11" s="41"/>
      <c r="I11" s="41"/>
    </row>
    <row r="12" spans="1:9" ht="15.75">
      <c r="A12" s="43">
        <v>852</v>
      </c>
      <c r="B12" s="43"/>
      <c r="C12" s="43"/>
      <c r="D12" s="26" t="s">
        <v>169</v>
      </c>
      <c r="E12" s="35">
        <f>E13+E15+E17+E19</f>
        <v>5718000</v>
      </c>
      <c r="F12" s="35">
        <f>F13+F15+F17+F19</f>
        <v>5718000</v>
      </c>
      <c r="G12" s="35">
        <f>G13+G15+G17+G19</f>
        <v>0</v>
      </c>
      <c r="H12" s="35">
        <f>H13+H15+H17+H19</f>
        <v>0</v>
      </c>
      <c r="I12" s="35">
        <f>I13+I15+I17+I19</f>
        <v>0</v>
      </c>
    </row>
    <row r="13" spans="1:9" ht="15.75">
      <c r="A13" s="44"/>
      <c r="B13" s="46">
        <v>85203</v>
      </c>
      <c r="C13" s="46"/>
      <c r="D13" s="40" t="s">
        <v>170</v>
      </c>
      <c r="E13" s="41">
        <f>E14</f>
        <v>378000</v>
      </c>
      <c r="F13" s="41">
        <f>F14</f>
        <v>378000</v>
      </c>
      <c r="G13" s="41">
        <f>G14</f>
        <v>0</v>
      </c>
      <c r="H13" s="41">
        <f>H14</f>
        <v>0</v>
      </c>
      <c r="I13" s="41">
        <f>I14</f>
        <v>0</v>
      </c>
    </row>
    <row r="14" spans="1:9" ht="31.5">
      <c r="A14" s="44"/>
      <c r="B14" s="46"/>
      <c r="C14" s="46">
        <v>2010</v>
      </c>
      <c r="D14" s="40" t="s">
        <v>166</v>
      </c>
      <c r="E14" s="96">
        <f>F14+H14</f>
        <v>378000</v>
      </c>
      <c r="F14" s="41">
        <v>378000</v>
      </c>
      <c r="G14" s="41"/>
      <c r="H14" s="41"/>
      <c r="I14" s="41"/>
    </row>
    <row r="15" spans="1:9" ht="31.5">
      <c r="A15" s="44"/>
      <c r="B15" s="46">
        <v>85212</v>
      </c>
      <c r="C15" s="46"/>
      <c r="D15" s="40" t="s">
        <v>171</v>
      </c>
      <c r="E15" s="41">
        <f>E16</f>
        <v>5250000</v>
      </c>
      <c r="F15" s="41">
        <f>F16</f>
        <v>5250000</v>
      </c>
      <c r="G15" s="41">
        <f>G16</f>
        <v>0</v>
      </c>
      <c r="H15" s="41">
        <f>H16</f>
        <v>0</v>
      </c>
      <c r="I15" s="41">
        <f>I16</f>
        <v>0</v>
      </c>
    </row>
    <row r="16" spans="1:9" ht="31.5">
      <c r="A16" s="44"/>
      <c r="B16" s="46"/>
      <c r="C16" s="46">
        <v>2010</v>
      </c>
      <c r="D16" s="40" t="s">
        <v>166</v>
      </c>
      <c r="E16" s="96">
        <f>F16+H16</f>
        <v>5250000</v>
      </c>
      <c r="F16" s="41">
        <v>5250000</v>
      </c>
      <c r="G16" s="41"/>
      <c r="H16" s="41"/>
      <c r="I16" s="41"/>
    </row>
    <row r="17" spans="1:9" ht="31.5">
      <c r="A17" s="44"/>
      <c r="B17" s="46">
        <v>85213</v>
      </c>
      <c r="C17" s="46"/>
      <c r="D17" s="40" t="s">
        <v>133</v>
      </c>
      <c r="E17" s="41">
        <f>E18</f>
        <v>12000</v>
      </c>
      <c r="F17" s="41">
        <f>F18</f>
        <v>12000</v>
      </c>
      <c r="G17" s="41">
        <f>G18</f>
        <v>0</v>
      </c>
      <c r="H17" s="41">
        <f>H18</f>
        <v>0</v>
      </c>
      <c r="I17" s="41">
        <f>I18</f>
        <v>0</v>
      </c>
    </row>
    <row r="18" spans="1:9" ht="31.5">
      <c r="A18" s="44"/>
      <c r="B18" s="46"/>
      <c r="C18" s="46">
        <v>2010</v>
      </c>
      <c r="D18" s="40" t="s">
        <v>166</v>
      </c>
      <c r="E18" s="96">
        <f>F18+H18</f>
        <v>12000</v>
      </c>
      <c r="F18" s="41">
        <v>12000</v>
      </c>
      <c r="G18" s="41"/>
      <c r="H18" s="41"/>
      <c r="I18" s="41"/>
    </row>
    <row r="19" spans="1:9" ht="15.75">
      <c r="A19" s="46"/>
      <c r="B19" s="46">
        <v>85228</v>
      </c>
      <c r="C19" s="46"/>
      <c r="D19" s="89" t="s">
        <v>140</v>
      </c>
      <c r="E19" s="41">
        <f>E20</f>
        <v>78000</v>
      </c>
      <c r="F19" s="41">
        <f>F20</f>
        <v>78000</v>
      </c>
      <c r="G19" s="41">
        <f>G20</f>
        <v>0</v>
      </c>
      <c r="H19" s="41">
        <f>H20</f>
        <v>0</v>
      </c>
      <c r="I19" s="41">
        <f>I20</f>
        <v>0</v>
      </c>
    </row>
    <row r="20" spans="1:9" ht="39" customHeight="1">
      <c r="A20" s="46"/>
      <c r="B20" s="101" t="s">
        <v>172</v>
      </c>
      <c r="C20" s="46">
        <v>2010</v>
      </c>
      <c r="D20" s="40" t="s">
        <v>166</v>
      </c>
      <c r="E20" s="96">
        <f>F20+H20</f>
        <v>78000</v>
      </c>
      <c r="F20" s="41">
        <v>78000</v>
      </c>
      <c r="G20" s="41"/>
      <c r="H20" s="41"/>
      <c r="I20" s="41"/>
    </row>
    <row r="21" spans="1:9" ht="15" customHeight="1">
      <c r="A21" s="528" t="s">
        <v>163</v>
      </c>
      <c r="B21" s="528"/>
      <c r="C21" s="528"/>
      <c r="D21" s="528"/>
      <c r="E21" s="38">
        <f>E12+E6+E9</f>
        <v>5867470</v>
      </c>
      <c r="F21" s="38">
        <f>F12+F6+F9</f>
        <v>5867470</v>
      </c>
      <c r="G21" s="38">
        <f>G12+G6+G9</f>
        <v>0</v>
      </c>
      <c r="H21" s="38">
        <f>H12+H6+H9</f>
        <v>0</v>
      </c>
      <c r="I21" s="38">
        <f>I12+I6+I9</f>
        <v>0</v>
      </c>
    </row>
  </sheetData>
  <sheetProtection selectLockedCells="1" selectUnlockedCells="1"/>
  <mergeCells count="10">
    <mergeCell ref="A21:D21"/>
    <mergeCell ref="A1:I1"/>
    <mergeCell ref="A2:A4"/>
    <mergeCell ref="B2:B4"/>
    <mergeCell ref="C2:C4"/>
    <mergeCell ref="D2:D4"/>
    <mergeCell ref="E2:E4"/>
    <mergeCell ref="F2:I2"/>
    <mergeCell ref="F3:F4"/>
    <mergeCell ref="H3:H4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82" r:id="rId1"/>
  <headerFooter alignWithMargins="0">
    <oddHeader>&amp;R&amp;"Times New Roman,Normalny"&amp;12Załącznik Nr  3 do Uchwały  Nr III/12/2010 Rady Miejskiej w Barlinku z dnia 30 grudnia 2010</oddHeader>
    <oddFooter>&amp;C&amp;"Times New Roman,Normalny"&amp;12Strona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showGridLines="0" defaultGridColor="0" view="pageBreakPreview" zoomScaleSheetLayoutView="100" colorId="15" workbookViewId="0" topLeftCell="A1">
      <selection activeCell="A1" sqref="A1"/>
    </sheetView>
  </sheetViews>
  <sheetFormatPr defaultColWidth="9.00390625" defaultRowHeight="12.75"/>
  <cols>
    <col min="1" max="2" width="11.625" style="15" customWidth="1"/>
    <col min="3" max="3" width="6.875" style="15" customWidth="1"/>
    <col min="4" max="4" width="56.875" style="15" customWidth="1"/>
    <col min="5" max="5" width="11.625" style="15" customWidth="1"/>
    <col min="6" max="6" width="8.375" style="15" customWidth="1"/>
    <col min="7" max="7" width="10.625" style="15" customWidth="1"/>
    <col min="8" max="8" width="9.625" style="15" customWidth="1"/>
    <col min="9" max="9" width="11.875" style="15" customWidth="1"/>
    <col min="10" max="16384" width="9.00390625" style="15" customWidth="1"/>
  </cols>
  <sheetData>
    <row r="1" spans="1:9" ht="60" customHeight="1">
      <c r="A1" s="529" t="s">
        <v>173</v>
      </c>
      <c r="B1" s="529"/>
      <c r="C1" s="529"/>
      <c r="D1" s="529"/>
      <c r="E1" s="529"/>
      <c r="F1" s="529"/>
      <c r="G1" s="529"/>
      <c r="H1" s="529"/>
      <c r="I1" s="529"/>
    </row>
    <row r="2" spans="1:9" s="102" customFormat="1" ht="11.25" customHeight="1">
      <c r="A2" s="530" t="s">
        <v>1</v>
      </c>
      <c r="B2" s="530" t="s">
        <v>21</v>
      </c>
      <c r="C2" s="530" t="s">
        <v>22</v>
      </c>
      <c r="D2" s="530" t="s">
        <v>23</v>
      </c>
      <c r="E2" s="530" t="s">
        <v>24</v>
      </c>
      <c r="F2" s="531" t="s">
        <v>25</v>
      </c>
      <c r="G2" s="531"/>
      <c r="H2" s="531"/>
      <c r="I2" s="531"/>
    </row>
    <row r="3" spans="1:9" s="102" customFormat="1" ht="11.25" customHeight="1">
      <c r="A3" s="530"/>
      <c r="B3" s="530"/>
      <c r="C3" s="530"/>
      <c r="D3" s="530"/>
      <c r="E3" s="530"/>
      <c r="F3" s="530" t="s">
        <v>4</v>
      </c>
      <c r="G3" s="95" t="s">
        <v>25</v>
      </c>
      <c r="H3" s="530" t="s">
        <v>5</v>
      </c>
      <c r="I3" s="95" t="s">
        <v>25</v>
      </c>
    </row>
    <row r="4" spans="1:9" s="102" customFormat="1" ht="94.5">
      <c r="A4" s="530"/>
      <c r="B4" s="530"/>
      <c r="C4" s="530"/>
      <c r="D4" s="530"/>
      <c r="E4" s="530"/>
      <c r="F4" s="530"/>
      <c r="G4" s="95" t="s">
        <v>26</v>
      </c>
      <c r="H4" s="530"/>
      <c r="I4" s="95" t="s">
        <v>26</v>
      </c>
    </row>
    <row r="5" spans="1:9" s="16" customFormat="1" ht="15.75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>
        <v>7</v>
      </c>
      <c r="H5" s="24">
        <v>8</v>
      </c>
      <c r="I5" s="24">
        <v>9</v>
      </c>
    </row>
    <row r="6" spans="1:9" s="16" customFormat="1" ht="15.75">
      <c r="A6" s="25">
        <v>710</v>
      </c>
      <c r="B6" s="25"/>
      <c r="C6" s="25"/>
      <c r="D6" s="49" t="s">
        <v>54</v>
      </c>
      <c r="E6" s="27">
        <f aca="true" t="shared" si="0" ref="E6:I7">E7</f>
        <v>7000</v>
      </c>
      <c r="F6" s="27">
        <f t="shared" si="0"/>
        <v>7000</v>
      </c>
      <c r="G6" s="27">
        <f t="shared" si="0"/>
        <v>0</v>
      </c>
      <c r="H6" s="27">
        <f t="shared" si="0"/>
        <v>0</v>
      </c>
      <c r="I6" s="27">
        <f t="shared" si="0"/>
        <v>0</v>
      </c>
    </row>
    <row r="7" spans="1:9" ht="15.75">
      <c r="A7" s="44"/>
      <c r="B7" s="46">
        <v>71035</v>
      </c>
      <c r="C7" s="46"/>
      <c r="D7" s="40" t="s">
        <v>165</v>
      </c>
      <c r="E7" s="41">
        <f t="shared" si="0"/>
        <v>7000</v>
      </c>
      <c r="F7" s="41">
        <f t="shared" si="0"/>
        <v>7000</v>
      </c>
      <c r="G7" s="96">
        <f t="shared" si="0"/>
        <v>0</v>
      </c>
      <c r="H7" s="96">
        <f t="shared" si="0"/>
        <v>0</v>
      </c>
      <c r="I7" s="96">
        <f t="shared" si="0"/>
        <v>0</v>
      </c>
    </row>
    <row r="8" spans="1:9" ht="47.25">
      <c r="A8" s="44"/>
      <c r="B8" s="46"/>
      <c r="C8" s="46">
        <v>2020</v>
      </c>
      <c r="D8" s="40" t="s">
        <v>174</v>
      </c>
      <c r="E8" s="41">
        <f>F8</f>
        <v>7000</v>
      </c>
      <c r="F8" s="33">
        <v>7000</v>
      </c>
      <c r="G8" s="96"/>
      <c r="H8" s="96"/>
      <c r="I8" s="96"/>
    </row>
    <row r="9" spans="1:9" s="57" customFormat="1" ht="19.5" customHeight="1">
      <c r="A9" s="532" t="s">
        <v>19</v>
      </c>
      <c r="B9" s="532"/>
      <c r="C9" s="532"/>
      <c r="D9" s="532"/>
      <c r="E9" s="30">
        <f>E8</f>
        <v>7000</v>
      </c>
      <c r="F9" s="30">
        <f>F8</f>
        <v>7000</v>
      </c>
      <c r="G9" s="103">
        <f>G8</f>
        <v>0</v>
      </c>
      <c r="H9" s="103">
        <f>H8</f>
        <v>0</v>
      </c>
      <c r="I9" s="103">
        <f>I8</f>
        <v>0</v>
      </c>
    </row>
    <row r="11" ht="15.75">
      <c r="A11" s="104"/>
    </row>
  </sheetData>
  <sheetProtection selectLockedCells="1" selectUnlockedCells="1"/>
  <mergeCells count="10">
    <mergeCell ref="A9:D9"/>
    <mergeCell ref="A1:I1"/>
    <mergeCell ref="A2:A4"/>
    <mergeCell ref="B2:B4"/>
    <mergeCell ref="C2:C4"/>
    <mergeCell ref="D2:D4"/>
    <mergeCell ref="E2:E4"/>
    <mergeCell ref="F2:I2"/>
    <mergeCell ref="F3:F4"/>
    <mergeCell ref="H3:H4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95" r:id="rId1"/>
  <headerFooter alignWithMargins="0">
    <oddHeader>&amp;R&amp;"Times New Roman,Normalny"&amp;12Załącznik Nr 4 do Uchwały  Nr III/12/2010 Rady Miejskiej w Barlinku z dnia 30 grudnia 2010</oddHeader>
    <oddFooter>&amp;C&amp;"Times New Roman,Normalny"&amp;12Strona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showGridLines="0" defaultGridColor="0" view="pageBreakPreview" zoomScaleSheetLayoutView="100" colorId="15" workbookViewId="0" topLeftCell="A1">
      <selection activeCell="L24" sqref="L24"/>
    </sheetView>
  </sheetViews>
  <sheetFormatPr defaultColWidth="9.00390625" defaultRowHeight="18" customHeight="1"/>
  <cols>
    <col min="1" max="1" width="6.00390625" style="14" customWidth="1"/>
    <col min="2" max="2" width="8.625" style="15" customWidth="1"/>
    <col min="3" max="3" width="6.00390625" style="15" customWidth="1"/>
    <col min="4" max="4" width="71.375" style="17" customWidth="1"/>
    <col min="5" max="7" width="12.25390625" style="18" customWidth="1"/>
    <col min="8" max="8" width="12.00390625" style="18" customWidth="1"/>
    <col min="9" max="9" width="12.125" style="18" customWidth="1"/>
    <col min="10" max="16384" width="9.00390625" style="15" customWidth="1"/>
  </cols>
  <sheetData>
    <row r="1" spans="1:9" ht="46.5" customHeight="1">
      <c r="A1" s="523" t="s">
        <v>175</v>
      </c>
      <c r="B1" s="523"/>
      <c r="C1" s="523"/>
      <c r="D1" s="523"/>
      <c r="E1" s="523"/>
      <c r="F1" s="523"/>
      <c r="G1" s="523"/>
      <c r="H1" s="523"/>
      <c r="I1" s="523"/>
    </row>
    <row r="2" spans="1:9" s="105" customFormat="1" ht="13.5" customHeight="1">
      <c r="A2" s="525" t="s">
        <v>1</v>
      </c>
      <c r="B2" s="525" t="s">
        <v>21</v>
      </c>
      <c r="C2" s="525" t="s">
        <v>22</v>
      </c>
      <c r="D2" s="525" t="s">
        <v>23</v>
      </c>
      <c r="E2" s="525" t="s">
        <v>24</v>
      </c>
      <c r="F2" s="526" t="s">
        <v>25</v>
      </c>
      <c r="G2" s="526"/>
      <c r="H2" s="526"/>
      <c r="I2" s="526"/>
    </row>
    <row r="3" spans="1:9" s="106" customFormat="1" ht="13.5" customHeight="1">
      <c r="A3" s="525"/>
      <c r="B3" s="525"/>
      <c r="C3" s="525"/>
      <c r="D3" s="525"/>
      <c r="E3" s="525"/>
      <c r="F3" s="525" t="s">
        <v>4</v>
      </c>
      <c r="G3" s="19" t="s">
        <v>25</v>
      </c>
      <c r="H3" s="525" t="s">
        <v>5</v>
      </c>
      <c r="I3" s="19" t="s">
        <v>25</v>
      </c>
    </row>
    <row r="4" spans="1:9" s="20" customFormat="1" ht="79.5" customHeight="1">
      <c r="A4" s="525"/>
      <c r="B4" s="525"/>
      <c r="C4" s="525"/>
      <c r="D4" s="525"/>
      <c r="E4" s="525"/>
      <c r="F4" s="525"/>
      <c r="G4" s="95" t="s">
        <v>26</v>
      </c>
      <c r="H4" s="525"/>
      <c r="I4" s="95" t="s">
        <v>26</v>
      </c>
    </row>
    <row r="5" spans="1:9" s="20" customFormat="1" ht="13.5" customHeigh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>
        <v>7</v>
      </c>
      <c r="H5" s="24">
        <v>8</v>
      </c>
      <c r="I5" s="24">
        <v>9</v>
      </c>
    </row>
    <row r="6" spans="1:9" s="20" customFormat="1" ht="12.75" customHeight="1">
      <c r="A6" s="26">
        <v>400</v>
      </c>
      <c r="B6" s="26"/>
      <c r="C6" s="26"/>
      <c r="D6" s="26" t="s">
        <v>33</v>
      </c>
      <c r="E6" s="35">
        <f aca="true" t="shared" si="0" ref="E6:I7">E7</f>
        <v>676200</v>
      </c>
      <c r="F6" s="35">
        <f t="shared" si="0"/>
        <v>0</v>
      </c>
      <c r="G6" s="35">
        <f t="shared" si="0"/>
        <v>0</v>
      </c>
      <c r="H6" s="35">
        <f t="shared" si="0"/>
        <v>676200</v>
      </c>
      <c r="I6" s="35">
        <f t="shared" si="0"/>
        <v>676200</v>
      </c>
    </row>
    <row r="7" spans="1:9" s="20" customFormat="1" ht="12.75" customHeight="1">
      <c r="A7" s="36"/>
      <c r="B7" s="36">
        <v>40002</v>
      </c>
      <c r="C7" s="36"/>
      <c r="D7" s="37" t="s">
        <v>34</v>
      </c>
      <c r="E7" s="38">
        <f t="shared" si="0"/>
        <v>676200</v>
      </c>
      <c r="F7" s="38">
        <f t="shared" si="0"/>
        <v>0</v>
      </c>
      <c r="G7" s="38">
        <f t="shared" si="0"/>
        <v>0</v>
      </c>
      <c r="H7" s="38">
        <f t="shared" si="0"/>
        <v>676200</v>
      </c>
      <c r="I7" s="38">
        <f t="shared" si="0"/>
        <v>676200</v>
      </c>
    </row>
    <row r="8" spans="1:9" s="20" customFormat="1" ht="57" customHeight="1">
      <c r="A8" s="36"/>
      <c r="B8" s="39"/>
      <c r="C8" s="39">
        <v>6207</v>
      </c>
      <c r="D8" s="40" t="s">
        <v>35</v>
      </c>
      <c r="E8" s="41">
        <f>F8+H8</f>
        <v>676200</v>
      </c>
      <c r="F8" s="41"/>
      <c r="G8" s="42"/>
      <c r="H8" s="41">
        <f>I8</f>
        <v>676200</v>
      </c>
      <c r="I8" s="41">
        <f>'zał 2'!I11</f>
        <v>676200</v>
      </c>
    </row>
    <row r="9" spans="1:9" ht="12.75" customHeight="1">
      <c r="A9" s="26">
        <v>600</v>
      </c>
      <c r="B9" s="26"/>
      <c r="C9" s="26"/>
      <c r="D9" s="26" t="s">
        <v>36</v>
      </c>
      <c r="E9" s="35">
        <f aca="true" t="shared" si="1" ref="E9:I10">E10</f>
        <v>1850413</v>
      </c>
      <c r="F9" s="35">
        <f t="shared" si="1"/>
        <v>0</v>
      </c>
      <c r="G9" s="35">
        <f t="shared" si="1"/>
        <v>0</v>
      </c>
      <c r="H9" s="35">
        <f t="shared" si="1"/>
        <v>1850413</v>
      </c>
      <c r="I9" s="35">
        <f t="shared" si="1"/>
        <v>1850413</v>
      </c>
    </row>
    <row r="10" spans="1:9" ht="12.75" customHeight="1">
      <c r="A10" s="36"/>
      <c r="B10" s="36">
        <v>60016</v>
      </c>
      <c r="C10" s="36"/>
      <c r="D10" s="45" t="s">
        <v>37</v>
      </c>
      <c r="E10" s="38">
        <f t="shared" si="1"/>
        <v>1850413</v>
      </c>
      <c r="F10" s="38">
        <f t="shared" si="1"/>
        <v>0</v>
      </c>
      <c r="G10" s="38">
        <f t="shared" si="1"/>
        <v>0</v>
      </c>
      <c r="H10" s="38">
        <f t="shared" si="1"/>
        <v>1850413</v>
      </c>
      <c r="I10" s="38">
        <f t="shared" si="1"/>
        <v>1850413</v>
      </c>
    </row>
    <row r="11" spans="1:9" ht="57" customHeight="1">
      <c r="A11" s="39"/>
      <c r="B11" s="39"/>
      <c r="C11" s="87" t="s">
        <v>38</v>
      </c>
      <c r="D11" s="40" t="s">
        <v>35</v>
      </c>
      <c r="E11" s="41">
        <f>H11</f>
        <v>1850413</v>
      </c>
      <c r="F11" s="41"/>
      <c r="G11" s="41"/>
      <c r="H11" s="42">
        <f>I11</f>
        <v>1850413</v>
      </c>
      <c r="I11" s="42">
        <f>'zał 2'!I14</f>
        <v>1850413</v>
      </c>
    </row>
    <row r="12" spans="1:9" ht="15" customHeight="1">
      <c r="A12" s="25">
        <v>801</v>
      </c>
      <c r="B12" s="25"/>
      <c r="C12" s="25"/>
      <c r="D12" s="26" t="s">
        <v>115</v>
      </c>
      <c r="E12" s="107">
        <f aca="true" t="shared" si="2" ref="E12:I13">E13</f>
        <v>568271.29</v>
      </c>
      <c r="F12" s="107">
        <f t="shared" si="2"/>
        <v>568271.29</v>
      </c>
      <c r="G12" s="107">
        <f t="shared" si="2"/>
        <v>568271.29</v>
      </c>
      <c r="H12" s="27">
        <f t="shared" si="2"/>
        <v>0</v>
      </c>
      <c r="I12" s="27">
        <f t="shared" si="2"/>
        <v>0</v>
      </c>
    </row>
    <row r="13" spans="1:9" ht="28.5" customHeight="1">
      <c r="A13" s="64"/>
      <c r="B13" s="64">
        <v>80195</v>
      </c>
      <c r="C13" s="64"/>
      <c r="D13" s="65" t="s">
        <v>30</v>
      </c>
      <c r="E13" s="66">
        <f t="shared" si="2"/>
        <v>568271.29</v>
      </c>
      <c r="F13" s="66">
        <f t="shared" si="2"/>
        <v>568271.29</v>
      </c>
      <c r="G13" s="66">
        <f t="shared" si="2"/>
        <v>568271.29</v>
      </c>
      <c r="H13" s="66">
        <f t="shared" si="2"/>
        <v>0</v>
      </c>
      <c r="I13" s="66">
        <f t="shared" si="2"/>
        <v>0</v>
      </c>
    </row>
    <row r="14" spans="1:9" ht="56.25" customHeight="1">
      <c r="A14" s="61"/>
      <c r="B14" s="62"/>
      <c r="C14" s="68" t="s">
        <v>128</v>
      </c>
      <c r="D14" s="69" t="s">
        <v>35</v>
      </c>
      <c r="E14" s="70">
        <f>F14</f>
        <v>568271.29</v>
      </c>
      <c r="F14" s="71">
        <f>G14</f>
        <v>568271.29</v>
      </c>
      <c r="G14" s="72">
        <f>'zał 2'!G98</f>
        <v>568271.29</v>
      </c>
      <c r="H14" s="70"/>
      <c r="I14" s="70"/>
    </row>
    <row r="15" spans="1:9" ht="12.75" customHeight="1" hidden="1">
      <c r="A15" s="77" t="s">
        <v>144</v>
      </c>
      <c r="B15" s="77"/>
      <c r="C15" s="78"/>
      <c r="D15" s="79" t="s">
        <v>145</v>
      </c>
      <c r="E15" s="80">
        <f>SUM(E16)</f>
        <v>175800</v>
      </c>
      <c r="F15" s="80">
        <f>SUM(F16)</f>
        <v>175800</v>
      </c>
      <c r="G15" s="80">
        <f>SUM(G16)</f>
        <v>175800</v>
      </c>
      <c r="H15" s="80">
        <f>SUM(H16)</f>
        <v>0</v>
      </c>
      <c r="I15" s="80">
        <f>SUM(I16)</f>
        <v>0</v>
      </c>
    </row>
    <row r="16" spans="1:9" ht="12.75" customHeight="1" hidden="1">
      <c r="A16" s="81"/>
      <c r="B16" s="81" t="s">
        <v>146</v>
      </c>
      <c r="C16" s="68"/>
      <c r="D16" s="82" t="s">
        <v>30</v>
      </c>
      <c r="E16" s="83">
        <f>E17</f>
        <v>175800</v>
      </c>
      <c r="F16" s="83">
        <f>F17</f>
        <v>175800</v>
      </c>
      <c r="G16" s="83">
        <f>G17</f>
        <v>175800</v>
      </c>
      <c r="H16" s="83">
        <f>H17</f>
        <v>0</v>
      </c>
      <c r="I16" s="83">
        <f>I17</f>
        <v>0</v>
      </c>
    </row>
    <row r="17" spans="1:9" ht="12.75" customHeight="1" hidden="1">
      <c r="A17" s="81"/>
      <c r="B17" s="81"/>
      <c r="C17" s="68" t="s">
        <v>128</v>
      </c>
      <c r="D17" s="69" t="s">
        <v>35</v>
      </c>
      <c r="E17" s="33">
        <f>F17</f>
        <v>175800</v>
      </c>
      <c r="F17" s="84">
        <f>'zał 2'!F120</f>
        <v>175800</v>
      </c>
      <c r="G17" s="84">
        <f>'zał 2'!G120</f>
        <v>175800</v>
      </c>
      <c r="H17" s="41"/>
      <c r="I17" s="41"/>
    </row>
    <row r="18" spans="1:9" ht="12.75" customHeight="1" hidden="1">
      <c r="A18" s="26">
        <v>926</v>
      </c>
      <c r="B18" s="26"/>
      <c r="C18" s="26"/>
      <c r="D18" s="88" t="s">
        <v>158</v>
      </c>
      <c r="E18" s="35">
        <f aca="true" t="shared" si="3" ref="E18:I19">E19</f>
        <v>1100000</v>
      </c>
      <c r="F18" s="35">
        <f t="shared" si="3"/>
        <v>0</v>
      </c>
      <c r="G18" s="35">
        <f t="shared" si="3"/>
        <v>0</v>
      </c>
      <c r="H18" s="35">
        <f t="shared" si="3"/>
        <v>1100000</v>
      </c>
      <c r="I18" s="35">
        <f t="shared" si="3"/>
        <v>1100000</v>
      </c>
    </row>
    <row r="19" spans="1:9" ht="12.75" customHeight="1" hidden="1">
      <c r="A19" s="36"/>
      <c r="B19" s="36">
        <v>92601</v>
      </c>
      <c r="C19" s="36"/>
      <c r="D19" s="45" t="s">
        <v>159</v>
      </c>
      <c r="E19" s="38">
        <f t="shared" si="3"/>
        <v>1100000</v>
      </c>
      <c r="F19" s="38">
        <f t="shared" si="3"/>
        <v>0</v>
      </c>
      <c r="G19" s="38">
        <f t="shared" si="3"/>
        <v>0</v>
      </c>
      <c r="H19" s="38">
        <f t="shared" si="3"/>
        <v>1100000</v>
      </c>
      <c r="I19" s="38">
        <f t="shared" si="3"/>
        <v>1100000</v>
      </c>
    </row>
    <row r="20" spans="1:9" ht="12.75" customHeight="1" hidden="1">
      <c r="A20" s="36"/>
      <c r="B20" s="39"/>
      <c r="C20" s="87" t="s">
        <v>38</v>
      </c>
      <c r="D20" s="40" t="s">
        <v>35</v>
      </c>
      <c r="E20" s="41">
        <f>H20</f>
        <v>1100000</v>
      </c>
      <c r="F20" s="42"/>
      <c r="G20" s="42"/>
      <c r="H20" s="42">
        <f>I20</f>
        <v>1100000</v>
      </c>
      <c r="I20" s="42">
        <f>'zał 2'!I134</f>
        <v>1100000</v>
      </c>
    </row>
    <row r="21" spans="1:9" ht="18" customHeight="1">
      <c r="A21" s="533" t="s">
        <v>163</v>
      </c>
      <c r="B21" s="533"/>
      <c r="C21" s="533"/>
      <c r="D21" s="533"/>
      <c r="E21" s="108">
        <f>E18+E9+E6+E15+E12</f>
        <v>4370684.29</v>
      </c>
      <c r="F21" s="108">
        <f>F18+F9+F6+F15+F12</f>
        <v>744071.29</v>
      </c>
      <c r="G21" s="108">
        <f>G18+G9+G6+G15+G12</f>
        <v>744071.29</v>
      </c>
      <c r="H21" s="38">
        <f>H18+H9+H6+H15+H12</f>
        <v>3626613</v>
      </c>
      <c r="I21" s="38">
        <f>I18+I9+I6+I15+I12</f>
        <v>3626613</v>
      </c>
    </row>
    <row r="22" spans="1:9" ht="18" customHeight="1">
      <c r="A22" s="109"/>
      <c r="B22" s="109"/>
      <c r="C22" s="109"/>
      <c r="D22" s="110"/>
      <c r="E22" s="111"/>
      <c r="F22" s="111"/>
      <c r="G22" s="111"/>
      <c r="H22" s="111"/>
      <c r="I22" s="111"/>
    </row>
    <row r="23" spans="1:9" ht="18" customHeight="1">
      <c r="A23" s="109"/>
      <c r="B23" s="112"/>
      <c r="C23" s="112"/>
      <c r="D23" s="113"/>
      <c r="E23" s="114"/>
      <c r="F23" s="114"/>
      <c r="G23" s="114"/>
      <c r="H23" s="114"/>
      <c r="I23" s="115"/>
    </row>
    <row r="24" spans="1:9" ht="18" customHeight="1">
      <c r="A24" s="109"/>
      <c r="B24" s="112"/>
      <c r="C24" s="112"/>
      <c r="D24" s="113"/>
      <c r="E24" s="114"/>
      <c r="F24" s="114"/>
      <c r="G24" s="114"/>
      <c r="H24" s="114"/>
      <c r="I24" s="115"/>
    </row>
    <row r="25" spans="1:9" ht="32.25" customHeight="1">
      <c r="A25" s="109"/>
      <c r="B25" s="109"/>
      <c r="C25" s="109"/>
      <c r="D25" s="110"/>
      <c r="E25" s="111"/>
      <c r="F25" s="111"/>
      <c r="G25" s="111"/>
      <c r="H25" s="111"/>
      <c r="I25" s="111"/>
    </row>
    <row r="26" spans="1:9" ht="18" customHeight="1">
      <c r="A26" s="112"/>
      <c r="B26" s="112"/>
      <c r="C26" s="112"/>
      <c r="D26" s="113"/>
      <c r="E26" s="114"/>
      <c r="F26" s="114"/>
      <c r="G26" s="114"/>
      <c r="H26" s="114"/>
      <c r="I26" s="115"/>
    </row>
    <row r="27" spans="1:9" ht="18" customHeight="1">
      <c r="A27" s="112"/>
      <c r="B27" s="112"/>
      <c r="C27" s="112"/>
      <c r="D27" s="113"/>
      <c r="E27" s="114"/>
      <c r="F27" s="114"/>
      <c r="G27" s="114"/>
      <c r="H27" s="114"/>
      <c r="I27" s="115"/>
    </row>
    <row r="28" spans="1:9" ht="18" customHeight="1">
      <c r="A28" s="112"/>
      <c r="B28" s="112"/>
      <c r="C28" s="112"/>
      <c r="D28" s="113"/>
      <c r="E28" s="114"/>
      <c r="F28" s="114"/>
      <c r="G28" s="114"/>
      <c r="H28" s="114"/>
      <c r="I28" s="115"/>
    </row>
    <row r="29" spans="1:9" ht="18" customHeight="1">
      <c r="A29" s="116"/>
      <c r="B29" s="112"/>
      <c r="C29" s="112"/>
      <c r="D29" s="113"/>
      <c r="E29" s="114"/>
      <c r="F29" s="114"/>
      <c r="G29" s="114"/>
      <c r="H29" s="114"/>
      <c r="I29" s="115"/>
    </row>
    <row r="30" spans="1:9" ht="18" customHeight="1">
      <c r="A30" s="116"/>
      <c r="B30" s="112"/>
      <c r="C30" s="112"/>
      <c r="D30" s="113"/>
      <c r="E30" s="114"/>
      <c r="F30" s="114"/>
      <c r="G30" s="114"/>
      <c r="H30" s="114"/>
      <c r="I30" s="115"/>
    </row>
    <row r="31" spans="1:9" ht="18" customHeight="1">
      <c r="A31" s="116"/>
      <c r="B31" s="112"/>
      <c r="C31" s="112"/>
      <c r="D31" s="113"/>
      <c r="E31" s="114"/>
      <c r="F31" s="114"/>
      <c r="G31" s="114"/>
      <c r="H31" s="114"/>
      <c r="I31" s="115"/>
    </row>
    <row r="32" spans="1:9" ht="18" customHeight="1">
      <c r="A32" s="116"/>
      <c r="B32" s="112"/>
      <c r="C32" s="112"/>
      <c r="D32" s="113"/>
      <c r="E32" s="114"/>
      <c r="F32" s="114"/>
      <c r="G32" s="114"/>
      <c r="H32" s="114"/>
      <c r="I32" s="115"/>
    </row>
    <row r="33" spans="1:9" ht="18" customHeight="1">
      <c r="A33" s="116"/>
      <c r="B33" s="112"/>
      <c r="C33" s="112"/>
      <c r="D33" s="113"/>
      <c r="E33" s="114"/>
      <c r="F33" s="114"/>
      <c r="G33" s="114"/>
      <c r="H33" s="114"/>
      <c r="I33" s="115"/>
    </row>
    <row r="34" spans="1:9" ht="32.25" customHeight="1">
      <c r="A34" s="117"/>
      <c r="B34" s="109"/>
      <c r="C34" s="109"/>
      <c r="D34" s="110"/>
      <c r="E34" s="111"/>
      <c r="F34" s="111"/>
      <c r="G34" s="111"/>
      <c r="H34" s="111"/>
      <c r="I34" s="111"/>
    </row>
    <row r="35" spans="1:9" ht="18" customHeight="1">
      <c r="A35" s="116"/>
      <c r="B35" s="112"/>
      <c r="C35" s="112"/>
      <c r="D35" s="113"/>
      <c r="E35" s="114"/>
      <c r="F35" s="114"/>
      <c r="G35" s="114"/>
      <c r="H35" s="114"/>
      <c r="I35" s="115"/>
    </row>
    <row r="36" spans="1:9" ht="18" customHeight="1">
      <c r="A36" s="116"/>
      <c r="B36" s="112"/>
      <c r="C36" s="112"/>
      <c r="D36" s="113"/>
      <c r="E36" s="114"/>
      <c r="F36" s="114"/>
      <c r="G36" s="114"/>
      <c r="H36" s="114"/>
      <c r="I36" s="115"/>
    </row>
    <row r="37" spans="1:9" ht="18" customHeight="1">
      <c r="A37" s="116"/>
      <c r="B37" s="112"/>
      <c r="C37" s="112"/>
      <c r="D37" s="113"/>
      <c r="E37" s="114"/>
      <c r="F37" s="114"/>
      <c r="G37" s="114"/>
      <c r="H37" s="114"/>
      <c r="I37" s="115"/>
    </row>
    <row r="38" spans="1:9" ht="18" customHeight="1">
      <c r="A38" s="112"/>
      <c r="B38" s="112"/>
      <c r="C38" s="112"/>
      <c r="D38" s="113"/>
      <c r="E38" s="114"/>
      <c r="F38" s="114"/>
      <c r="G38" s="114"/>
      <c r="H38" s="114"/>
      <c r="I38" s="115"/>
    </row>
    <row r="39" spans="1:9" ht="18" customHeight="1">
      <c r="A39" s="116"/>
      <c r="B39" s="112"/>
      <c r="C39" s="112"/>
      <c r="D39" s="113"/>
      <c r="E39" s="114"/>
      <c r="F39" s="114"/>
      <c r="G39" s="114"/>
      <c r="H39" s="114"/>
      <c r="I39" s="115"/>
    </row>
    <row r="40" spans="1:9" ht="18" customHeight="1">
      <c r="A40" s="116"/>
      <c r="B40" s="112"/>
      <c r="C40" s="112"/>
      <c r="D40" s="113"/>
      <c r="E40" s="114"/>
      <c r="F40" s="114"/>
      <c r="G40" s="114"/>
      <c r="H40" s="114"/>
      <c r="I40" s="115"/>
    </row>
    <row r="41" spans="1:9" ht="18" customHeight="1">
      <c r="A41" s="116"/>
      <c r="B41" s="112"/>
      <c r="C41" s="112"/>
      <c r="D41" s="113"/>
      <c r="E41" s="114"/>
      <c r="F41" s="114"/>
      <c r="G41" s="114"/>
      <c r="H41" s="114"/>
      <c r="I41" s="115"/>
    </row>
    <row r="42" spans="1:9" ht="18" customHeight="1">
      <c r="A42" s="116"/>
      <c r="B42" s="112"/>
      <c r="C42" s="112"/>
      <c r="D42" s="113"/>
      <c r="E42" s="114"/>
      <c r="F42" s="114"/>
      <c r="G42" s="114"/>
      <c r="H42" s="114"/>
      <c r="I42" s="115"/>
    </row>
    <row r="43" spans="1:9" ht="18" customHeight="1">
      <c r="A43" s="112"/>
      <c r="B43" s="112"/>
      <c r="C43" s="112"/>
      <c r="D43" s="113"/>
      <c r="E43" s="114"/>
      <c r="F43" s="114"/>
      <c r="G43" s="114"/>
      <c r="H43" s="114"/>
      <c r="I43" s="115"/>
    </row>
    <row r="44" spans="1:9" ht="18" customHeight="1">
      <c r="A44" s="112"/>
      <c r="B44" s="112"/>
      <c r="C44" s="112"/>
      <c r="D44" s="113"/>
      <c r="E44" s="114"/>
      <c r="F44" s="114"/>
      <c r="G44" s="114"/>
      <c r="H44" s="114"/>
      <c r="I44" s="115"/>
    </row>
    <row r="45" spans="1:9" ht="32.25" customHeight="1">
      <c r="A45" s="109"/>
      <c r="B45" s="109"/>
      <c r="C45" s="109"/>
      <c r="D45" s="110"/>
      <c r="E45" s="111"/>
      <c r="F45" s="111"/>
      <c r="G45" s="111"/>
      <c r="H45" s="111"/>
      <c r="I45" s="111"/>
    </row>
    <row r="46" spans="1:9" ht="32.25" customHeight="1">
      <c r="A46" s="109"/>
      <c r="B46" s="112"/>
      <c r="C46" s="112"/>
      <c r="D46" s="113"/>
      <c r="E46" s="114"/>
      <c r="F46" s="114"/>
      <c r="G46" s="114"/>
      <c r="H46" s="114"/>
      <c r="I46" s="115"/>
    </row>
    <row r="47" spans="1:9" ht="18" customHeight="1">
      <c r="A47" s="109"/>
      <c r="B47" s="109"/>
      <c r="C47" s="109"/>
      <c r="D47" s="110"/>
      <c r="E47" s="111"/>
      <c r="F47" s="111"/>
      <c r="G47" s="111"/>
      <c r="H47" s="111"/>
      <c r="I47" s="111"/>
    </row>
    <row r="48" spans="1:9" ht="18" customHeight="1">
      <c r="A48" s="109"/>
      <c r="B48" s="112"/>
      <c r="C48" s="112"/>
      <c r="D48" s="113"/>
      <c r="E48" s="114"/>
      <c r="F48" s="114"/>
      <c r="G48" s="114"/>
      <c r="H48" s="114"/>
      <c r="I48" s="115"/>
    </row>
    <row r="49" spans="1:9" ht="18" customHeight="1">
      <c r="A49" s="109"/>
      <c r="B49" s="109"/>
      <c r="C49" s="109"/>
      <c r="D49" s="110"/>
      <c r="E49" s="111"/>
      <c r="F49" s="111"/>
      <c r="G49" s="111"/>
      <c r="H49" s="111"/>
      <c r="I49" s="111"/>
    </row>
    <row r="50" spans="5:7" ht="18" customHeight="1">
      <c r="E50" s="90"/>
      <c r="F50" s="90"/>
      <c r="G50" s="90"/>
    </row>
    <row r="52" spans="5:8" ht="18" customHeight="1">
      <c r="E52" s="90"/>
      <c r="F52" s="90"/>
      <c r="G52" s="90"/>
      <c r="H52" s="90"/>
    </row>
    <row r="53" spans="5:7" ht="18" customHeight="1">
      <c r="E53" s="90"/>
      <c r="F53" s="90"/>
      <c r="G53" s="90"/>
    </row>
    <row r="54" spans="5:7" ht="18" customHeight="1">
      <c r="E54" s="91"/>
      <c r="F54" s="91"/>
      <c r="G54" s="91"/>
    </row>
  </sheetData>
  <sheetProtection selectLockedCells="1" selectUnlockedCells="1"/>
  <mergeCells count="10">
    <mergeCell ref="A21:D21"/>
    <mergeCell ref="A1:I1"/>
    <mergeCell ref="A2:A4"/>
    <mergeCell ref="B2:B4"/>
    <mergeCell ref="C2:C4"/>
    <mergeCell ref="D2:D4"/>
    <mergeCell ref="E2:E4"/>
    <mergeCell ref="F2:I2"/>
    <mergeCell ref="F3:F4"/>
    <mergeCell ref="H3:H4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87" r:id="rId1"/>
  <headerFooter alignWithMargins="0">
    <oddHeader>&amp;R&amp;"Times New Roman,Normalny"&amp;12Załącznik Nr 5 do Uchwały  Nr III/12/2010 Rady Miejskiej w Barlinku z dnia 30 grudnia 2010</oddHeader>
    <oddFooter>&amp;C&amp;"Times New Roman,Normalny"&amp;12Strona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showGridLines="0" defaultGridColor="0" view="pageBreakPreview" zoomScaleSheetLayoutView="100" colorId="15" workbookViewId="0" topLeftCell="A1">
      <selection activeCell="E15" sqref="E15"/>
    </sheetView>
  </sheetViews>
  <sheetFormatPr defaultColWidth="9.00390625" defaultRowHeight="12.75"/>
  <cols>
    <col min="1" max="1" width="6.875" style="118" customWidth="1"/>
    <col min="2" max="2" width="56.125" style="119" customWidth="1"/>
    <col min="3" max="4" width="16.125" style="119" customWidth="1"/>
    <col min="5" max="5" width="16.125" style="120" customWidth="1"/>
    <col min="6" max="16384" width="11.625" style="121" customWidth="1"/>
  </cols>
  <sheetData>
    <row r="1" spans="1:5" ht="13.5" customHeight="1">
      <c r="A1" s="523" t="s">
        <v>176</v>
      </c>
      <c r="B1" s="523"/>
      <c r="C1" s="523"/>
      <c r="D1" s="523"/>
      <c r="E1" s="523"/>
    </row>
    <row r="2" spans="1:5" ht="19.5">
      <c r="A2" s="5"/>
      <c r="B2" s="5"/>
      <c r="C2" s="5"/>
      <c r="D2" s="5"/>
      <c r="E2" s="5"/>
    </row>
    <row r="3" spans="1:5" s="124" customFormat="1" ht="33" customHeight="1">
      <c r="A3" s="122" t="s">
        <v>1</v>
      </c>
      <c r="B3" s="123" t="s">
        <v>2</v>
      </c>
      <c r="C3" s="123" t="s">
        <v>3</v>
      </c>
      <c r="D3" s="123" t="s">
        <v>177</v>
      </c>
      <c r="E3" s="7" t="s">
        <v>178</v>
      </c>
    </row>
    <row r="4" spans="1:5" ht="16.5">
      <c r="A4" s="125" t="s">
        <v>179</v>
      </c>
      <c r="B4" s="126" t="str">
        <f>'zał 7'!D7</f>
        <v>Rolnictwo i łowiectwo</v>
      </c>
      <c r="C4" s="11">
        <f aca="true" t="shared" si="0" ref="C4:C9">D4+E4</f>
        <v>15384</v>
      </c>
      <c r="D4" s="11">
        <f>'zał 7'!F7</f>
        <v>15384</v>
      </c>
      <c r="E4" s="11">
        <f>'zał 7'!O7</f>
        <v>0</v>
      </c>
    </row>
    <row r="5" spans="1:5" ht="34.5" customHeight="1">
      <c r="A5" s="125" t="s">
        <v>6</v>
      </c>
      <c r="B5" s="126" t="str">
        <f>'zał 7'!D10</f>
        <v>Wytwarzanie i zaopatrzenie w energię elektryczną, gaz i wodę </v>
      </c>
      <c r="C5" s="11">
        <f t="shared" si="0"/>
        <v>1336200</v>
      </c>
      <c r="D5" s="11">
        <f>'zał 7'!F10</f>
        <v>8200</v>
      </c>
      <c r="E5" s="11">
        <f>'zał 7'!O10</f>
        <v>1328000</v>
      </c>
    </row>
    <row r="6" spans="1:5" ht="16.5">
      <c r="A6" s="125" t="s">
        <v>7</v>
      </c>
      <c r="B6" s="126" t="str">
        <f>'zał 7'!D16</f>
        <v>Transport  i  łączność</v>
      </c>
      <c r="C6" s="11">
        <f t="shared" si="0"/>
        <v>4938205</v>
      </c>
      <c r="D6" s="11">
        <f>'zał 7'!F16</f>
        <v>413492</v>
      </c>
      <c r="E6" s="11">
        <f>'zał 7'!O16</f>
        <v>4524713</v>
      </c>
    </row>
    <row r="7" spans="1:5" ht="16.5">
      <c r="A7" s="125" t="s">
        <v>8</v>
      </c>
      <c r="B7" s="126" t="str">
        <f>'zał 7'!D30</f>
        <v>Gospodarka  mieszkaniowa</v>
      </c>
      <c r="C7" s="11">
        <f t="shared" si="0"/>
        <v>579557</v>
      </c>
      <c r="D7" s="11">
        <f>'zał 7'!F30</f>
        <v>579557</v>
      </c>
      <c r="E7" s="11">
        <f>'zał 7'!O30</f>
        <v>0</v>
      </c>
    </row>
    <row r="8" spans="1:5" ht="16.5">
      <c r="A8" s="125" t="s">
        <v>9</v>
      </c>
      <c r="B8" s="126" t="str">
        <f>'zał 7'!D39</f>
        <v>Działalność  usługowa</v>
      </c>
      <c r="C8" s="11">
        <f t="shared" si="0"/>
        <v>412590</v>
      </c>
      <c r="D8" s="11">
        <f>'zał 7'!F39+'zał 9'!F7</f>
        <v>412590</v>
      </c>
      <c r="E8" s="11">
        <f>'zał 7'!O39+'zał 9'!O7</f>
        <v>0</v>
      </c>
    </row>
    <row r="9" spans="1:5" ht="16.5">
      <c r="A9" s="125" t="s">
        <v>10</v>
      </c>
      <c r="B9" s="126" t="str">
        <f>'zał 7'!D48</f>
        <v>Administracja  publiczna</v>
      </c>
      <c r="C9" s="11">
        <f t="shared" si="0"/>
        <v>4291582</v>
      </c>
      <c r="D9" s="11">
        <f>'zał 7'!F48+'zał 8'!F7</f>
        <v>4291582</v>
      </c>
      <c r="E9" s="11">
        <f>'zał 7'!O48+'zał 8'!O7</f>
        <v>0</v>
      </c>
    </row>
    <row r="10" spans="1:5" ht="49.5">
      <c r="A10" s="125" t="s">
        <v>11</v>
      </c>
      <c r="B10" s="126" t="str">
        <f>'zał 8'!D13</f>
        <v>Urzędy naczelnych organów władzy 
państwowej, kontroli i ochrony prawa oraz sądownictwa  </v>
      </c>
      <c r="C10" s="11">
        <f>'zał 8'!E14</f>
        <v>3270</v>
      </c>
      <c r="D10" s="11">
        <f>'zał 8'!F14</f>
        <v>3270</v>
      </c>
      <c r="E10" s="11">
        <f>'zał 7'!O49+'zał 8'!O8</f>
        <v>0</v>
      </c>
    </row>
    <row r="11" spans="1:5" ht="33">
      <c r="A11" s="125" t="s">
        <v>180</v>
      </c>
      <c r="B11" s="126" t="str">
        <f>'zał 7'!D85</f>
        <v>Bezpieczeństwo publiczne  
i  ochrona  przeciwpożarowa</v>
      </c>
      <c r="C11" s="11">
        <f>D11+E11</f>
        <v>967000</v>
      </c>
      <c r="D11" s="11">
        <f>'zał 7'!F85</f>
        <v>267000</v>
      </c>
      <c r="E11" s="11">
        <f>'zał 7'!O85</f>
        <v>700000</v>
      </c>
    </row>
    <row r="12" spans="1:5" ht="66">
      <c r="A12" s="125" t="s">
        <v>12</v>
      </c>
      <c r="B12" s="127" t="str">
        <f>'zał 7'!D99</f>
        <v>Dochody od osób prawnych,od osób fizycznych
i od innych jednostek nie posiadających
osobowości prawnej oraz wydatki związane
z ich poborem </v>
      </c>
      <c r="C12" s="11">
        <f>D12+E12</f>
        <v>46000</v>
      </c>
      <c r="D12" s="11">
        <f>'zał 7'!F99</f>
        <v>46000</v>
      </c>
      <c r="E12" s="11">
        <f>'zał 7'!O99</f>
        <v>0</v>
      </c>
    </row>
    <row r="13" spans="1:5" ht="16.5">
      <c r="A13" s="125" t="s">
        <v>181</v>
      </c>
      <c r="B13" s="127" t="str">
        <f>'zał 7'!D103</f>
        <v>Obsługa  długu  publicznego</v>
      </c>
      <c r="C13" s="11">
        <f>D13+E13</f>
        <v>1498024</v>
      </c>
      <c r="D13" s="11">
        <f>'zał 7'!F103</f>
        <v>1498024</v>
      </c>
      <c r="E13" s="11">
        <f>'zał 7'!O103</f>
        <v>0</v>
      </c>
    </row>
    <row r="14" spans="1:5" ht="16.5">
      <c r="A14" s="125" t="s">
        <v>13</v>
      </c>
      <c r="B14" s="126" t="str">
        <f>'zał 7'!D107</f>
        <v>Różne  rozliczenia</v>
      </c>
      <c r="C14" s="11">
        <f>D14+E14</f>
        <v>380000</v>
      </c>
      <c r="D14" s="11">
        <f>'zał 7'!F107</f>
        <v>380000</v>
      </c>
      <c r="E14" s="11">
        <f>'zał 7'!O107</f>
        <v>0</v>
      </c>
    </row>
    <row r="15" spans="1:5" ht="16.5">
      <c r="A15" s="125" t="s">
        <v>14</v>
      </c>
      <c r="B15" s="126" t="str">
        <f>'zał 7'!D112</f>
        <v>Oświata  i  wychowanie</v>
      </c>
      <c r="C15" s="11">
        <f>D15+E15</f>
        <v>21924976.46</v>
      </c>
      <c r="D15" s="11">
        <f>'zał 7'!F112</f>
        <v>21124976.46</v>
      </c>
      <c r="E15" s="11">
        <f>'zał 7'!O112</f>
        <v>800000</v>
      </c>
    </row>
    <row r="16" spans="1:5" ht="16.5">
      <c r="A16" s="125" t="s">
        <v>182</v>
      </c>
      <c r="B16" s="126" t="str">
        <f>'zał 7'!D234</f>
        <v>Szkolnictwo wyższe</v>
      </c>
      <c r="C16" s="11">
        <f>'zał 7'!E234</f>
        <v>10000</v>
      </c>
      <c r="D16" s="11">
        <f>'zał 7'!F234</f>
        <v>0</v>
      </c>
      <c r="E16" s="11">
        <f>'zał 7'!O234</f>
        <v>10000</v>
      </c>
    </row>
    <row r="17" spans="1:5" ht="16.5">
      <c r="A17" s="125" t="s">
        <v>183</v>
      </c>
      <c r="B17" s="126" t="str">
        <f>'zał 7'!D237</f>
        <v>Ochrona  zdrowia</v>
      </c>
      <c r="C17" s="11">
        <f>D17+E17</f>
        <v>336661</v>
      </c>
      <c r="D17" s="11">
        <f>'zał 7'!F237</f>
        <v>336661</v>
      </c>
      <c r="E17" s="11">
        <f>'zał 7'!O237</f>
        <v>0</v>
      </c>
    </row>
    <row r="18" spans="1:5" ht="16.5">
      <c r="A18" s="125" t="s">
        <v>15</v>
      </c>
      <c r="B18" s="126" t="str">
        <f>'zał 7'!D257</f>
        <v>Pomoc społeczna</v>
      </c>
      <c r="C18" s="11">
        <f>D18+E18</f>
        <v>9365758</v>
      </c>
      <c r="D18" s="11">
        <f>'zał 7'!F257+'zał 8'!F17</f>
        <v>9365758</v>
      </c>
      <c r="E18" s="11">
        <f>'zał 7'!O257+'zał 8'!O17</f>
        <v>0</v>
      </c>
    </row>
    <row r="19" spans="1:5" ht="16.5">
      <c r="A19" s="125" t="s">
        <v>144</v>
      </c>
      <c r="B19" s="126" t="str">
        <f>'zał 7'!D302</f>
        <v>Pozostałe zadania z zakresu polityki społecznej</v>
      </c>
      <c r="C19" s="11">
        <f>'zał 7'!E302</f>
        <v>219000</v>
      </c>
      <c r="D19" s="11">
        <f>'zał 7'!F302</f>
        <v>219000</v>
      </c>
      <c r="E19" s="11"/>
    </row>
    <row r="20" spans="1:5" ht="16.5">
      <c r="A20" s="125" t="s">
        <v>184</v>
      </c>
      <c r="B20" s="126" t="str">
        <f>'zał 7'!D319</f>
        <v>Edukacyjna  opieka  wychowawcza</v>
      </c>
      <c r="C20" s="11">
        <f>D20+E20</f>
        <v>50320</v>
      </c>
      <c r="D20" s="11">
        <f>'zał 7'!F319</f>
        <v>50320</v>
      </c>
      <c r="E20" s="11">
        <f>'zał 7'!O319</f>
        <v>0</v>
      </c>
    </row>
    <row r="21" spans="1:5" ht="16.5">
      <c r="A21" s="125" t="s">
        <v>16</v>
      </c>
      <c r="B21" s="126" t="str">
        <f>'zał 7'!D323</f>
        <v>Gospodarka  komunalna  i  ochrona  środowiska</v>
      </c>
      <c r="C21" s="11">
        <f>D21+E21</f>
        <v>1920404</v>
      </c>
      <c r="D21" s="11">
        <f>'zał 7'!F323</f>
        <v>1845404</v>
      </c>
      <c r="E21" s="11">
        <f>'zał 7'!O323</f>
        <v>75000</v>
      </c>
    </row>
    <row r="22" spans="1:5" ht="16.5">
      <c r="A22" s="125" t="s">
        <v>17</v>
      </c>
      <c r="B22" s="126" t="str">
        <f>'zał 7'!D352</f>
        <v>Kultura  i  ochrona  dziedzictwa  narodowego </v>
      </c>
      <c r="C22" s="11">
        <f>D22+E22</f>
        <v>1611011</v>
      </c>
      <c r="D22" s="11">
        <f>'zał 7'!F352</f>
        <v>1611011</v>
      </c>
      <c r="E22" s="11">
        <f>'zał 7'!O352</f>
        <v>0</v>
      </c>
    </row>
    <row r="23" spans="1:5" ht="16.5">
      <c r="A23" s="125" t="s">
        <v>18</v>
      </c>
      <c r="B23" s="126" t="str">
        <f>'zał 7'!D367</f>
        <v>Kultura fizyczna</v>
      </c>
      <c r="C23" s="11">
        <f>D23+E23</f>
        <v>5254180</v>
      </c>
      <c r="D23" s="11">
        <f>'zał 7'!F367</f>
        <v>404180</v>
      </c>
      <c r="E23" s="11">
        <f>'zał 7'!O367</f>
        <v>4850000</v>
      </c>
    </row>
    <row r="24" spans="1:5" s="128" customFormat="1" ht="16.5" customHeight="1">
      <c r="A24" s="534" t="s">
        <v>19</v>
      </c>
      <c r="B24" s="534"/>
      <c r="C24" s="12">
        <f>SUM(C4:C23)</f>
        <v>55160122.46</v>
      </c>
      <c r="D24" s="12">
        <f>SUM(D4:D23)</f>
        <v>42872409.46</v>
      </c>
      <c r="E24" s="12">
        <f>SUM(E4:E23)</f>
        <v>12287713</v>
      </c>
    </row>
  </sheetData>
  <sheetProtection selectLockedCells="1" selectUnlockedCells="1"/>
  <mergeCells count="2">
    <mergeCell ref="A1:E1"/>
    <mergeCell ref="A24:B24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portrait" paperSize="9" scale="82" r:id="rId1"/>
  <headerFooter alignWithMargins="0">
    <oddHeader>&amp;R&amp;"Times New Roman,Normalny"&amp;12Załącznik Nr 6 do Uchwały  Nr III/12/2010 Rady Miejskiej w Barlinku z dnia 30 grudnia 2010</oddHeader>
    <oddFooter>&amp;C&amp;"Times New Roman,Normalny"&amp;12Strona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86"/>
  <sheetViews>
    <sheetView showGridLines="0" defaultGridColor="0" view="pageBreakPreview" zoomScaleSheetLayoutView="100" colorId="15" workbookViewId="0" topLeftCell="A1">
      <pane ySplit="6" topLeftCell="P294" activePane="bottomLeft" state="frozen"/>
      <selection pane="topLeft" activeCell="A1" sqref="A1"/>
      <selection pane="bottomLeft" activeCell="Y374" sqref="Y374"/>
    </sheetView>
  </sheetViews>
  <sheetFormatPr defaultColWidth="9.00390625" defaultRowHeight="12.75"/>
  <cols>
    <col min="1" max="1" width="10.25390625" style="129" customWidth="1"/>
    <col min="2" max="2" width="13.875" style="129" customWidth="1"/>
    <col min="3" max="3" width="12.375" style="130" customWidth="1"/>
    <col min="4" max="4" width="80.00390625" style="131" customWidth="1"/>
    <col min="5" max="5" width="24.875" style="132" customWidth="1"/>
    <col min="6" max="6" width="19.25390625" style="132" customWidth="1"/>
    <col min="7" max="8" width="19.00390625" style="132" customWidth="1"/>
    <col min="9" max="9" width="19.125" style="132" customWidth="1"/>
    <col min="10" max="10" width="18.00390625" style="132" customWidth="1"/>
    <col min="11" max="11" width="16.75390625" style="132" customWidth="1"/>
    <col min="12" max="12" width="16.375" style="132" customWidth="1"/>
    <col min="13" max="13" width="16.75390625" style="132" customWidth="1"/>
    <col min="14" max="14" width="17.00390625" style="132" customWidth="1"/>
    <col min="15" max="15" width="19.625" style="132" customWidth="1"/>
    <col min="16" max="16" width="20.625" style="133" customWidth="1"/>
    <col min="17" max="17" width="16.75390625" style="133" customWidth="1"/>
    <col min="18" max="18" width="14.00390625" style="132" customWidth="1"/>
    <col min="19" max="19" width="16.75390625" style="134" customWidth="1"/>
    <col min="20" max="16384" width="9.00390625" style="134" customWidth="1"/>
  </cols>
  <sheetData>
    <row r="1" spans="1:18" s="135" customFormat="1" ht="65.25" customHeight="1">
      <c r="A1" s="535" t="s">
        <v>185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ht="15" customHeight="1">
      <c r="A2" s="536" t="s">
        <v>1</v>
      </c>
      <c r="B2" s="536" t="s">
        <v>21</v>
      </c>
      <c r="C2" s="536" t="s">
        <v>22</v>
      </c>
      <c r="D2" s="536" t="s">
        <v>186</v>
      </c>
      <c r="E2" s="536" t="s">
        <v>187</v>
      </c>
      <c r="F2" s="537" t="s">
        <v>188</v>
      </c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</row>
    <row r="3" spans="1:18" s="139" customFormat="1" ht="12" customHeight="1">
      <c r="A3" s="536"/>
      <c r="B3" s="536"/>
      <c r="C3" s="536"/>
      <c r="D3" s="536"/>
      <c r="E3" s="536"/>
      <c r="F3" s="538" t="s">
        <v>177</v>
      </c>
      <c r="G3" s="539" t="s">
        <v>25</v>
      </c>
      <c r="H3" s="539"/>
      <c r="I3" s="539"/>
      <c r="J3" s="539"/>
      <c r="K3" s="539"/>
      <c r="L3" s="539"/>
      <c r="M3" s="539"/>
      <c r="N3" s="539"/>
      <c r="O3" s="540" t="s">
        <v>189</v>
      </c>
      <c r="P3" s="539" t="s">
        <v>25</v>
      </c>
      <c r="Q3" s="539"/>
      <c r="R3" s="539"/>
    </row>
    <row r="4" spans="1:18" s="139" customFormat="1" ht="12.75" customHeight="1">
      <c r="A4" s="536"/>
      <c r="B4" s="536"/>
      <c r="C4" s="536"/>
      <c r="D4" s="536"/>
      <c r="E4" s="536"/>
      <c r="F4" s="538"/>
      <c r="G4" s="538" t="s">
        <v>190</v>
      </c>
      <c r="H4" s="539" t="s">
        <v>191</v>
      </c>
      <c r="I4" s="539"/>
      <c r="J4" s="540" t="s">
        <v>192</v>
      </c>
      <c r="K4" s="540" t="s">
        <v>193</v>
      </c>
      <c r="L4" s="540" t="s">
        <v>26</v>
      </c>
      <c r="M4" s="540" t="s">
        <v>194</v>
      </c>
      <c r="N4" s="540" t="s">
        <v>195</v>
      </c>
      <c r="O4" s="540"/>
      <c r="P4" s="540" t="s">
        <v>196</v>
      </c>
      <c r="Q4" s="137" t="s">
        <v>25</v>
      </c>
      <c r="R4" s="540" t="s">
        <v>197</v>
      </c>
    </row>
    <row r="5" spans="1:18" s="140" customFormat="1" ht="95.25" customHeight="1">
      <c r="A5" s="536"/>
      <c r="B5" s="536"/>
      <c r="C5" s="536"/>
      <c r="D5" s="536"/>
      <c r="E5" s="536"/>
      <c r="F5" s="538"/>
      <c r="G5" s="538"/>
      <c r="H5" s="138" t="s">
        <v>198</v>
      </c>
      <c r="I5" s="138" t="s">
        <v>199</v>
      </c>
      <c r="J5" s="540"/>
      <c r="K5" s="540"/>
      <c r="L5" s="540"/>
      <c r="M5" s="540"/>
      <c r="N5" s="540"/>
      <c r="O5" s="540"/>
      <c r="P5" s="540"/>
      <c r="Q5" s="136" t="s">
        <v>200</v>
      </c>
      <c r="R5" s="540"/>
    </row>
    <row r="6" spans="1:18" s="145" customFormat="1" ht="12">
      <c r="A6" s="141">
        <v>1</v>
      </c>
      <c r="B6" s="141">
        <v>2</v>
      </c>
      <c r="C6" s="142">
        <v>3</v>
      </c>
      <c r="D6" s="142">
        <v>4</v>
      </c>
      <c r="E6" s="143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144">
        <v>11</v>
      </c>
      <c r="L6" s="144">
        <v>12</v>
      </c>
      <c r="M6" s="144">
        <v>13</v>
      </c>
      <c r="N6" s="144">
        <v>14</v>
      </c>
      <c r="O6" s="144">
        <v>15</v>
      </c>
      <c r="P6" s="144">
        <v>16</v>
      </c>
      <c r="Q6" s="144">
        <v>17</v>
      </c>
      <c r="R6" s="144">
        <v>18</v>
      </c>
    </row>
    <row r="7" spans="1:18" ht="33.75" customHeight="1">
      <c r="A7" s="146" t="s">
        <v>179</v>
      </c>
      <c r="B7" s="146"/>
      <c r="C7" s="147"/>
      <c r="D7" s="147" t="s">
        <v>201</v>
      </c>
      <c r="E7" s="148">
        <f aca="true" t="shared" si="0" ref="E7:R8">E8</f>
        <v>15384</v>
      </c>
      <c r="F7" s="148">
        <f t="shared" si="0"/>
        <v>15384</v>
      </c>
      <c r="G7" s="148">
        <f t="shared" si="0"/>
        <v>0</v>
      </c>
      <c r="H7" s="148">
        <f t="shared" si="0"/>
        <v>0</v>
      </c>
      <c r="I7" s="148">
        <f t="shared" si="0"/>
        <v>0</v>
      </c>
      <c r="J7" s="148">
        <f t="shared" si="0"/>
        <v>15384</v>
      </c>
      <c r="K7" s="148">
        <f t="shared" si="0"/>
        <v>0</v>
      </c>
      <c r="L7" s="148">
        <f t="shared" si="0"/>
        <v>0</v>
      </c>
      <c r="M7" s="148">
        <f t="shared" si="0"/>
        <v>0</v>
      </c>
      <c r="N7" s="148">
        <f t="shared" si="0"/>
        <v>0</v>
      </c>
      <c r="O7" s="148">
        <f t="shared" si="0"/>
        <v>0</v>
      </c>
      <c r="P7" s="148">
        <f t="shared" si="0"/>
        <v>0</v>
      </c>
      <c r="Q7" s="148">
        <f t="shared" si="0"/>
        <v>0</v>
      </c>
      <c r="R7" s="148">
        <f t="shared" si="0"/>
        <v>0</v>
      </c>
    </row>
    <row r="8" spans="1:18" ht="22.5" customHeight="1">
      <c r="A8" s="149"/>
      <c r="B8" s="149" t="s">
        <v>202</v>
      </c>
      <c r="C8" s="150"/>
      <c r="D8" s="151" t="s">
        <v>203</v>
      </c>
      <c r="E8" s="152">
        <f t="shared" si="0"/>
        <v>15384</v>
      </c>
      <c r="F8" s="152">
        <f t="shared" si="0"/>
        <v>15384</v>
      </c>
      <c r="G8" s="152">
        <f t="shared" si="0"/>
        <v>0</v>
      </c>
      <c r="H8" s="152">
        <f t="shared" si="0"/>
        <v>0</v>
      </c>
      <c r="I8" s="152">
        <f t="shared" si="0"/>
        <v>0</v>
      </c>
      <c r="J8" s="152">
        <f t="shared" si="0"/>
        <v>15384</v>
      </c>
      <c r="K8" s="152">
        <f t="shared" si="0"/>
        <v>0</v>
      </c>
      <c r="L8" s="152">
        <f t="shared" si="0"/>
        <v>0</v>
      </c>
      <c r="M8" s="152">
        <f t="shared" si="0"/>
        <v>0</v>
      </c>
      <c r="N8" s="152">
        <f t="shared" si="0"/>
        <v>0</v>
      </c>
      <c r="O8" s="152">
        <f t="shared" si="0"/>
        <v>0</v>
      </c>
      <c r="P8" s="152">
        <f t="shared" si="0"/>
        <v>0</v>
      </c>
      <c r="Q8" s="152">
        <f t="shared" si="0"/>
        <v>0</v>
      </c>
      <c r="R8" s="152">
        <f t="shared" si="0"/>
        <v>0</v>
      </c>
    </row>
    <row r="9" spans="1:18" ht="36.75" customHeight="1">
      <c r="A9" s="150"/>
      <c r="B9" s="153" t="s">
        <v>152</v>
      </c>
      <c r="C9" s="154">
        <v>2850</v>
      </c>
      <c r="D9" s="153" t="s">
        <v>204</v>
      </c>
      <c r="E9" s="155">
        <f>F9+O9</f>
        <v>15384</v>
      </c>
      <c r="F9" s="155">
        <f>G9+K9+L9+J9+N9+M9</f>
        <v>15384</v>
      </c>
      <c r="G9" s="155">
        <f>H9+I9</f>
        <v>0</v>
      </c>
      <c r="H9" s="156"/>
      <c r="I9" s="156"/>
      <c r="J9" s="157">
        <f>('zał 2'!E38+'zał 2'!E47)*0.02-0.08</f>
        <v>15384</v>
      </c>
      <c r="K9" s="156"/>
      <c r="L9" s="156"/>
      <c r="M9" s="156"/>
      <c r="N9" s="156"/>
      <c r="O9" s="156">
        <f>P9+R9</f>
        <v>0</v>
      </c>
      <c r="P9" s="156"/>
      <c r="Q9" s="156"/>
      <c r="R9" s="156"/>
    </row>
    <row r="10" spans="1:18" ht="39" customHeight="1">
      <c r="A10" s="147">
        <v>400</v>
      </c>
      <c r="B10" s="147"/>
      <c r="C10" s="147"/>
      <c r="D10" s="147" t="s">
        <v>33</v>
      </c>
      <c r="E10" s="148">
        <f aca="true" t="shared" si="1" ref="E10:R10">E11</f>
        <v>1336200</v>
      </c>
      <c r="F10" s="148">
        <f t="shared" si="1"/>
        <v>8200</v>
      </c>
      <c r="G10" s="148">
        <f t="shared" si="1"/>
        <v>8200</v>
      </c>
      <c r="H10" s="148">
        <f t="shared" si="1"/>
        <v>0</v>
      </c>
      <c r="I10" s="148">
        <f t="shared" si="1"/>
        <v>8200</v>
      </c>
      <c r="J10" s="148">
        <f t="shared" si="1"/>
        <v>0</v>
      </c>
      <c r="K10" s="148">
        <f t="shared" si="1"/>
        <v>0</v>
      </c>
      <c r="L10" s="148">
        <f t="shared" si="1"/>
        <v>0</v>
      </c>
      <c r="M10" s="148">
        <f t="shared" si="1"/>
        <v>0</v>
      </c>
      <c r="N10" s="148">
        <f t="shared" si="1"/>
        <v>0</v>
      </c>
      <c r="O10" s="148">
        <f t="shared" si="1"/>
        <v>1328000</v>
      </c>
      <c r="P10" s="148">
        <f t="shared" si="1"/>
        <v>1328000</v>
      </c>
      <c r="Q10" s="148">
        <f t="shared" si="1"/>
        <v>676200</v>
      </c>
      <c r="R10" s="148">
        <f t="shared" si="1"/>
        <v>0</v>
      </c>
    </row>
    <row r="11" spans="1:18" ht="22.5" customHeight="1">
      <c r="A11" s="150"/>
      <c r="B11" s="150">
        <v>40002</v>
      </c>
      <c r="C11" s="150"/>
      <c r="D11" s="151" t="s">
        <v>34</v>
      </c>
      <c r="E11" s="152">
        <f aca="true" t="shared" si="2" ref="E11:R11">SUM(E12:E15)</f>
        <v>1336200</v>
      </c>
      <c r="F11" s="152">
        <f t="shared" si="2"/>
        <v>8200</v>
      </c>
      <c r="G11" s="152">
        <f t="shared" si="2"/>
        <v>8200</v>
      </c>
      <c r="H11" s="152">
        <f t="shared" si="2"/>
        <v>0</v>
      </c>
      <c r="I11" s="152">
        <f t="shared" si="2"/>
        <v>8200</v>
      </c>
      <c r="J11" s="152">
        <f t="shared" si="2"/>
        <v>0</v>
      </c>
      <c r="K11" s="152">
        <f t="shared" si="2"/>
        <v>0</v>
      </c>
      <c r="L11" s="152">
        <f t="shared" si="2"/>
        <v>0</v>
      </c>
      <c r="M11" s="152">
        <f t="shared" si="2"/>
        <v>0</v>
      </c>
      <c r="N11" s="152">
        <f t="shared" si="2"/>
        <v>0</v>
      </c>
      <c r="O11" s="152">
        <f t="shared" si="2"/>
        <v>1328000</v>
      </c>
      <c r="P11" s="152">
        <f t="shared" si="2"/>
        <v>1328000</v>
      </c>
      <c r="Q11" s="152">
        <f t="shared" si="2"/>
        <v>676200</v>
      </c>
      <c r="R11" s="152">
        <f t="shared" si="2"/>
        <v>0</v>
      </c>
    </row>
    <row r="12" spans="1:18" ht="22.5" customHeight="1">
      <c r="A12" s="150"/>
      <c r="B12" s="154"/>
      <c r="C12" s="154">
        <v>4300</v>
      </c>
      <c r="D12" s="153" t="s">
        <v>205</v>
      </c>
      <c r="E12" s="155">
        <f>F12+O12</f>
        <v>8200</v>
      </c>
      <c r="F12" s="155">
        <f>G12+K12+L12+J12+N12+M12</f>
        <v>8200</v>
      </c>
      <c r="G12" s="155">
        <f>H12+I12</f>
        <v>8200</v>
      </c>
      <c r="H12" s="156"/>
      <c r="I12" s="157">
        <v>8200</v>
      </c>
      <c r="J12" s="156"/>
      <c r="K12" s="156"/>
      <c r="L12" s="156"/>
      <c r="M12" s="156"/>
      <c r="N12" s="156"/>
      <c r="O12" s="156">
        <f>P12+R12</f>
        <v>0</v>
      </c>
      <c r="P12" s="156"/>
      <c r="Q12" s="156"/>
      <c r="R12" s="156"/>
    </row>
    <row r="13" spans="1:18" ht="22.5" customHeight="1">
      <c r="A13" s="150"/>
      <c r="B13" s="154"/>
      <c r="C13" s="154">
        <v>6050</v>
      </c>
      <c r="D13" s="153" t="s">
        <v>206</v>
      </c>
      <c r="E13" s="155">
        <f>F13+O13</f>
        <v>178000</v>
      </c>
      <c r="F13" s="155">
        <f>G13+K13+L13+J13+N13+M13</f>
        <v>0</v>
      </c>
      <c r="G13" s="155">
        <f>H13+I13</f>
        <v>0</v>
      </c>
      <c r="H13" s="156"/>
      <c r="I13" s="156"/>
      <c r="J13" s="156"/>
      <c r="K13" s="156"/>
      <c r="L13" s="156"/>
      <c r="M13" s="156"/>
      <c r="N13" s="156"/>
      <c r="O13" s="156">
        <f>P13+R13</f>
        <v>178000</v>
      </c>
      <c r="P13" s="157">
        <f>'zał 11'!E7</f>
        <v>178000</v>
      </c>
      <c r="Q13" s="158"/>
      <c r="R13" s="158"/>
    </row>
    <row r="14" spans="1:18" ht="22.5" customHeight="1">
      <c r="A14" s="150"/>
      <c r="B14" s="154"/>
      <c r="C14" s="154">
        <v>6057</v>
      </c>
      <c r="D14" s="153" t="s">
        <v>206</v>
      </c>
      <c r="E14" s="155">
        <f>F14+O14</f>
        <v>676200</v>
      </c>
      <c r="F14" s="155">
        <f>G14+K14+L14+J14+N14+M14</f>
        <v>0</v>
      </c>
      <c r="G14" s="155">
        <f>H14+I14</f>
        <v>0</v>
      </c>
      <c r="H14" s="156"/>
      <c r="I14" s="156"/>
      <c r="J14" s="156"/>
      <c r="K14" s="156"/>
      <c r="L14" s="156"/>
      <c r="M14" s="156"/>
      <c r="N14" s="156"/>
      <c r="O14" s="156">
        <f>P14+R14</f>
        <v>676200</v>
      </c>
      <c r="P14" s="157">
        <f>Q14</f>
        <v>676200</v>
      </c>
      <c r="Q14" s="157">
        <f>'zał 11'!E10</f>
        <v>676200</v>
      </c>
      <c r="R14" s="158"/>
    </row>
    <row r="15" spans="1:18" ht="22.5" customHeight="1">
      <c r="A15" s="150"/>
      <c r="B15" s="154"/>
      <c r="C15" s="154">
        <v>6059</v>
      </c>
      <c r="D15" s="153" t="s">
        <v>206</v>
      </c>
      <c r="E15" s="155">
        <f>F15+O15</f>
        <v>473800</v>
      </c>
      <c r="F15" s="155">
        <f>G15+K15+L15+J15+N15+M15</f>
        <v>0</v>
      </c>
      <c r="G15" s="155">
        <f>H15+I15</f>
        <v>0</v>
      </c>
      <c r="H15" s="156"/>
      <c r="I15" s="156"/>
      <c r="J15" s="156"/>
      <c r="K15" s="156"/>
      <c r="L15" s="156"/>
      <c r="M15" s="156"/>
      <c r="N15" s="156"/>
      <c r="O15" s="156">
        <f>P15+R15</f>
        <v>473800</v>
      </c>
      <c r="P15" s="158">
        <f>'zał 11'!E12</f>
        <v>473800</v>
      </c>
      <c r="Q15" s="159"/>
      <c r="R15" s="158"/>
    </row>
    <row r="16" spans="1:18" ht="32.25" customHeight="1">
      <c r="A16" s="147">
        <v>600</v>
      </c>
      <c r="B16" s="147"/>
      <c r="C16" s="147"/>
      <c r="D16" s="147" t="s">
        <v>36</v>
      </c>
      <c r="E16" s="148">
        <f aca="true" t="shared" si="3" ref="E16:R16">E19+E27+E17</f>
        <v>4938205</v>
      </c>
      <c r="F16" s="148">
        <f t="shared" si="3"/>
        <v>413492</v>
      </c>
      <c r="G16" s="148">
        <f t="shared" si="3"/>
        <v>413492</v>
      </c>
      <c r="H16" s="148">
        <f t="shared" si="3"/>
        <v>0</v>
      </c>
      <c r="I16" s="148">
        <f t="shared" si="3"/>
        <v>413492</v>
      </c>
      <c r="J16" s="148">
        <f t="shared" si="3"/>
        <v>0</v>
      </c>
      <c r="K16" s="148">
        <f t="shared" si="3"/>
        <v>0</v>
      </c>
      <c r="L16" s="148">
        <f t="shared" si="3"/>
        <v>0</v>
      </c>
      <c r="M16" s="148">
        <f t="shared" si="3"/>
        <v>0</v>
      </c>
      <c r="N16" s="148">
        <f t="shared" si="3"/>
        <v>0</v>
      </c>
      <c r="O16" s="148">
        <f t="shared" si="3"/>
        <v>4524713</v>
      </c>
      <c r="P16" s="148">
        <f t="shared" si="3"/>
        <v>4524713</v>
      </c>
      <c r="Q16" s="148">
        <f t="shared" si="3"/>
        <v>1885413</v>
      </c>
      <c r="R16" s="148">
        <f t="shared" si="3"/>
        <v>0</v>
      </c>
    </row>
    <row r="17" spans="1:18" ht="22.5" customHeight="1">
      <c r="A17" s="160"/>
      <c r="B17" s="160">
        <v>60013</v>
      </c>
      <c r="C17" s="160"/>
      <c r="D17" s="161" t="s">
        <v>207</v>
      </c>
      <c r="E17" s="162">
        <f>E18</f>
        <v>1666200</v>
      </c>
      <c r="F17" s="162">
        <f>F18</f>
        <v>0</v>
      </c>
      <c r="G17" s="162">
        <f>G18</f>
        <v>0</v>
      </c>
      <c r="H17" s="162">
        <f>H18</f>
        <v>0</v>
      </c>
      <c r="I17" s="162">
        <f>I18</f>
        <v>0</v>
      </c>
      <c r="J17" s="162"/>
      <c r="K17" s="162"/>
      <c r="L17" s="162"/>
      <c r="M17" s="162">
        <f aca="true" t="shared" si="4" ref="M17:R17">M18</f>
        <v>0</v>
      </c>
      <c r="N17" s="162">
        <f t="shared" si="4"/>
        <v>0</v>
      </c>
      <c r="O17" s="162">
        <f t="shared" si="4"/>
        <v>1666200</v>
      </c>
      <c r="P17" s="162">
        <f t="shared" si="4"/>
        <v>1666200</v>
      </c>
      <c r="Q17" s="162">
        <f t="shared" si="4"/>
        <v>0</v>
      </c>
      <c r="R17" s="162">
        <f t="shared" si="4"/>
        <v>0</v>
      </c>
    </row>
    <row r="18" spans="1:18" ht="70.5" customHeight="1">
      <c r="A18" s="150"/>
      <c r="B18" s="154"/>
      <c r="C18" s="154">
        <v>6630</v>
      </c>
      <c r="D18" s="163" t="s">
        <v>208</v>
      </c>
      <c r="E18" s="155">
        <f>F18+O18</f>
        <v>1666200</v>
      </c>
      <c r="F18" s="155">
        <f>G18+K18+L18+J18+N18+M18</f>
        <v>0</v>
      </c>
      <c r="G18" s="155">
        <f>H18+I18</f>
        <v>0</v>
      </c>
      <c r="H18" s="156"/>
      <c r="I18" s="156"/>
      <c r="J18" s="156"/>
      <c r="K18" s="156"/>
      <c r="L18" s="156"/>
      <c r="M18" s="156"/>
      <c r="N18" s="156"/>
      <c r="O18" s="156">
        <f>P18+R18</f>
        <v>1666200</v>
      </c>
      <c r="P18" s="157">
        <f>'zał 11'!E16</f>
        <v>1666200</v>
      </c>
      <c r="Q18" s="156"/>
      <c r="R18" s="158"/>
    </row>
    <row r="19" spans="1:18" ht="22.5" customHeight="1">
      <c r="A19" s="150"/>
      <c r="B19" s="150">
        <v>60016</v>
      </c>
      <c r="C19" s="150"/>
      <c r="D19" s="161" t="s">
        <v>37</v>
      </c>
      <c r="E19" s="152">
        <f aca="true" t="shared" si="5" ref="E19:R19">SUM(E20:E26)</f>
        <v>3264305</v>
      </c>
      <c r="F19" s="152">
        <f t="shared" si="5"/>
        <v>405792</v>
      </c>
      <c r="G19" s="152">
        <f t="shared" si="5"/>
        <v>405792</v>
      </c>
      <c r="H19" s="152">
        <f t="shared" si="5"/>
        <v>0</v>
      </c>
      <c r="I19" s="152">
        <f t="shared" si="5"/>
        <v>405792</v>
      </c>
      <c r="J19" s="152">
        <f t="shared" si="5"/>
        <v>0</v>
      </c>
      <c r="K19" s="152">
        <f t="shared" si="5"/>
        <v>0</v>
      </c>
      <c r="L19" s="152">
        <f t="shared" si="5"/>
        <v>0</v>
      </c>
      <c r="M19" s="152">
        <f t="shared" si="5"/>
        <v>0</v>
      </c>
      <c r="N19" s="152">
        <f t="shared" si="5"/>
        <v>0</v>
      </c>
      <c r="O19" s="152">
        <f t="shared" si="5"/>
        <v>2858513</v>
      </c>
      <c r="P19" s="152">
        <f t="shared" si="5"/>
        <v>2858513</v>
      </c>
      <c r="Q19" s="152">
        <f t="shared" si="5"/>
        <v>1885413</v>
      </c>
      <c r="R19" s="152">
        <f t="shared" si="5"/>
        <v>0</v>
      </c>
    </row>
    <row r="20" spans="1:18" ht="22.5" customHeight="1">
      <c r="A20" s="150"/>
      <c r="B20" s="154"/>
      <c r="C20" s="154">
        <v>4210</v>
      </c>
      <c r="D20" s="153" t="s">
        <v>209</v>
      </c>
      <c r="E20" s="155">
        <f aca="true" t="shared" si="6" ref="E20:E25">F20+O20</f>
        <v>65000</v>
      </c>
      <c r="F20" s="155">
        <f aca="true" t="shared" si="7" ref="F20:F25">G20+K20+L20+J20+N20+M20</f>
        <v>65000</v>
      </c>
      <c r="G20" s="155">
        <f aca="true" t="shared" si="8" ref="G20:G25">H20+I20</f>
        <v>65000</v>
      </c>
      <c r="H20" s="156"/>
      <c r="I20" s="157">
        <f>60000+5000</f>
        <v>65000</v>
      </c>
      <c r="J20" s="156"/>
      <c r="K20" s="156"/>
      <c r="L20" s="156"/>
      <c r="M20" s="156"/>
      <c r="N20" s="156"/>
      <c r="O20" s="156">
        <f aca="true" t="shared" si="9" ref="O20:O26">P20+R20</f>
        <v>0</v>
      </c>
      <c r="P20" s="156"/>
      <c r="Q20" s="156"/>
      <c r="R20" s="156"/>
    </row>
    <row r="21" spans="1:18" ht="22.5" customHeight="1">
      <c r="A21" s="150"/>
      <c r="B21" s="154"/>
      <c r="C21" s="154">
        <v>4270</v>
      </c>
      <c r="D21" s="153" t="s">
        <v>210</v>
      </c>
      <c r="E21" s="155">
        <f t="shared" si="6"/>
        <v>289000</v>
      </c>
      <c r="F21" s="155">
        <f t="shared" si="7"/>
        <v>289000</v>
      </c>
      <c r="G21" s="155">
        <f t="shared" si="8"/>
        <v>289000</v>
      </c>
      <c r="H21" s="156"/>
      <c r="I21" s="157">
        <f>285877+3123</f>
        <v>289000</v>
      </c>
      <c r="J21" s="156"/>
      <c r="K21" s="156"/>
      <c r="L21" s="156"/>
      <c r="M21" s="156"/>
      <c r="N21" s="156"/>
      <c r="O21" s="156">
        <f t="shared" si="9"/>
        <v>0</v>
      </c>
      <c r="P21" s="156"/>
      <c r="Q21" s="156"/>
      <c r="R21" s="156"/>
    </row>
    <row r="22" spans="1:18" ht="22.5" customHeight="1">
      <c r="A22" s="150"/>
      <c r="B22" s="154"/>
      <c r="C22" s="154">
        <v>4300</v>
      </c>
      <c r="D22" s="153" t="s">
        <v>205</v>
      </c>
      <c r="E22" s="155">
        <f t="shared" si="6"/>
        <v>51792</v>
      </c>
      <c r="F22" s="155">
        <f t="shared" si="7"/>
        <v>51792</v>
      </c>
      <c r="G22" s="155">
        <f t="shared" si="8"/>
        <v>51792</v>
      </c>
      <c r="H22" s="156"/>
      <c r="I22" s="157">
        <f>40000+5000+6792</f>
        <v>51792</v>
      </c>
      <c r="J22" s="156"/>
      <c r="K22" s="156"/>
      <c r="L22" s="156"/>
      <c r="M22" s="156"/>
      <c r="N22" s="156"/>
      <c r="O22" s="156">
        <f t="shared" si="9"/>
        <v>0</v>
      </c>
      <c r="P22" s="156"/>
      <c r="Q22" s="156"/>
      <c r="R22" s="156"/>
    </row>
    <row r="23" spans="1:18" ht="22.5" customHeight="1">
      <c r="A23" s="150"/>
      <c r="B23" s="154"/>
      <c r="C23" s="154">
        <v>6050</v>
      </c>
      <c r="D23" s="153" t="s">
        <v>206</v>
      </c>
      <c r="E23" s="155">
        <f t="shared" si="6"/>
        <v>436000</v>
      </c>
      <c r="F23" s="155">
        <f t="shared" si="7"/>
        <v>0</v>
      </c>
      <c r="G23" s="155">
        <f t="shared" si="8"/>
        <v>0</v>
      </c>
      <c r="H23" s="156"/>
      <c r="I23" s="157"/>
      <c r="J23" s="156"/>
      <c r="K23" s="156"/>
      <c r="L23" s="156"/>
      <c r="M23" s="156"/>
      <c r="N23" s="156"/>
      <c r="O23" s="156">
        <f t="shared" si="9"/>
        <v>436000</v>
      </c>
      <c r="P23" s="156">
        <f>'zał 11'!E19</f>
        <v>436000</v>
      </c>
      <c r="Q23" s="156"/>
      <c r="R23" s="156"/>
    </row>
    <row r="24" spans="1:18" ht="22.5" customHeight="1">
      <c r="A24" s="150"/>
      <c r="B24" s="154"/>
      <c r="C24" s="154">
        <v>6057</v>
      </c>
      <c r="D24" s="153" t="s">
        <v>206</v>
      </c>
      <c r="E24" s="155">
        <f t="shared" si="6"/>
        <v>1850413</v>
      </c>
      <c r="F24" s="155">
        <f t="shared" si="7"/>
        <v>0</v>
      </c>
      <c r="G24" s="155">
        <f t="shared" si="8"/>
        <v>0</v>
      </c>
      <c r="H24" s="156"/>
      <c r="I24" s="156"/>
      <c r="J24" s="156"/>
      <c r="K24" s="156"/>
      <c r="L24" s="156"/>
      <c r="M24" s="156"/>
      <c r="N24" s="156"/>
      <c r="O24" s="156">
        <f t="shared" si="9"/>
        <v>1850413</v>
      </c>
      <c r="P24" s="157">
        <f>Q24</f>
        <v>1850413</v>
      </c>
      <c r="Q24" s="157">
        <f>'zał 11'!E23</f>
        <v>1850413</v>
      </c>
      <c r="R24" s="158"/>
    </row>
    <row r="25" spans="1:18" ht="22.5" customHeight="1">
      <c r="A25" s="150"/>
      <c r="B25" s="154"/>
      <c r="C25" s="154">
        <v>6059</v>
      </c>
      <c r="D25" s="153" t="s">
        <v>206</v>
      </c>
      <c r="E25" s="155">
        <f t="shared" si="6"/>
        <v>537100</v>
      </c>
      <c r="F25" s="155">
        <f t="shared" si="7"/>
        <v>0</v>
      </c>
      <c r="G25" s="155">
        <f t="shared" si="8"/>
        <v>0</v>
      </c>
      <c r="H25" s="156"/>
      <c r="I25" s="156"/>
      <c r="J25" s="156"/>
      <c r="K25" s="156"/>
      <c r="L25" s="156"/>
      <c r="M25" s="156"/>
      <c r="N25" s="156"/>
      <c r="O25" s="156">
        <f t="shared" si="9"/>
        <v>537100</v>
      </c>
      <c r="P25" s="158">
        <f>'zał 11'!E24</f>
        <v>537100</v>
      </c>
      <c r="Q25" s="158"/>
      <c r="R25" s="158"/>
    </row>
    <row r="26" spans="1:18" s="169" customFormat="1" ht="81">
      <c r="A26" s="154"/>
      <c r="B26" s="154"/>
      <c r="C26" s="164">
        <v>6627</v>
      </c>
      <c r="D26" s="165" t="s">
        <v>211</v>
      </c>
      <c r="E26" s="166">
        <f>F26+P26</f>
        <v>35000</v>
      </c>
      <c r="F26" s="167">
        <f>G26+J26+K26+L26+M26+N26</f>
        <v>0</v>
      </c>
      <c r="G26" s="156"/>
      <c r="H26" s="156"/>
      <c r="I26" s="156"/>
      <c r="J26" s="156"/>
      <c r="K26" s="156"/>
      <c r="L26" s="156"/>
      <c r="M26" s="156"/>
      <c r="N26" s="156"/>
      <c r="O26" s="156">
        <f t="shared" si="9"/>
        <v>35000</v>
      </c>
      <c r="P26" s="157">
        <f>Q26</f>
        <v>35000</v>
      </c>
      <c r="Q26" s="168">
        <f>'zał 11'!E26</f>
        <v>35000</v>
      </c>
      <c r="R26" s="157"/>
    </row>
    <row r="27" spans="1:18" ht="22.5" customHeight="1">
      <c r="A27" s="150"/>
      <c r="B27" s="150">
        <v>60095</v>
      </c>
      <c r="C27" s="150"/>
      <c r="D27" s="161" t="s">
        <v>30</v>
      </c>
      <c r="E27" s="152">
        <f aca="true" t="shared" si="10" ref="E27:R27">SUM(E28:E29)</f>
        <v>7700</v>
      </c>
      <c r="F27" s="152">
        <f t="shared" si="10"/>
        <v>7700</v>
      </c>
      <c r="G27" s="152">
        <f t="shared" si="10"/>
        <v>7700</v>
      </c>
      <c r="H27" s="152">
        <f t="shared" si="10"/>
        <v>0</v>
      </c>
      <c r="I27" s="152">
        <f t="shared" si="10"/>
        <v>7700</v>
      </c>
      <c r="J27" s="152">
        <f t="shared" si="10"/>
        <v>0</v>
      </c>
      <c r="K27" s="152">
        <f t="shared" si="10"/>
        <v>0</v>
      </c>
      <c r="L27" s="152">
        <f t="shared" si="10"/>
        <v>0</v>
      </c>
      <c r="M27" s="152">
        <f t="shared" si="10"/>
        <v>0</v>
      </c>
      <c r="N27" s="152">
        <f t="shared" si="10"/>
        <v>0</v>
      </c>
      <c r="O27" s="152">
        <f t="shared" si="10"/>
        <v>0</v>
      </c>
      <c r="P27" s="152">
        <f t="shared" si="10"/>
        <v>0</v>
      </c>
      <c r="Q27" s="152">
        <f t="shared" si="10"/>
        <v>0</v>
      </c>
      <c r="R27" s="152">
        <f t="shared" si="10"/>
        <v>0</v>
      </c>
    </row>
    <row r="28" spans="1:18" ht="22.5" customHeight="1">
      <c r="A28" s="150"/>
      <c r="B28" s="150"/>
      <c r="C28" s="154">
        <v>4210</v>
      </c>
      <c r="D28" s="153" t="s">
        <v>209</v>
      </c>
      <c r="E28" s="155">
        <f>F28+O28</f>
        <v>700</v>
      </c>
      <c r="F28" s="155">
        <f>G28+K28+L28+J28+N28+M28</f>
        <v>700</v>
      </c>
      <c r="G28" s="155">
        <f>H28+I28</f>
        <v>700</v>
      </c>
      <c r="H28" s="152"/>
      <c r="I28" s="157">
        <v>700</v>
      </c>
      <c r="J28" s="152"/>
      <c r="K28" s="152"/>
      <c r="L28" s="152"/>
      <c r="M28" s="152"/>
      <c r="N28" s="152"/>
      <c r="O28" s="156">
        <f>P28+R28</f>
        <v>0</v>
      </c>
      <c r="P28" s="152"/>
      <c r="Q28" s="152"/>
      <c r="R28" s="152"/>
    </row>
    <row r="29" spans="1:18" ht="22.5" customHeight="1">
      <c r="A29" s="150"/>
      <c r="B29" s="154"/>
      <c r="C29" s="154">
        <v>4270</v>
      </c>
      <c r="D29" s="153" t="s">
        <v>212</v>
      </c>
      <c r="E29" s="155">
        <f>F29+O29</f>
        <v>7000</v>
      </c>
      <c r="F29" s="155">
        <f>G29+K29+L29+J29+N29+M29</f>
        <v>7000</v>
      </c>
      <c r="G29" s="155">
        <f>H29+I29</f>
        <v>7000</v>
      </c>
      <c r="H29" s="156"/>
      <c r="I29" s="157">
        <f>6000+1000</f>
        <v>7000</v>
      </c>
      <c r="J29" s="156"/>
      <c r="K29" s="156"/>
      <c r="L29" s="156"/>
      <c r="M29" s="156"/>
      <c r="N29" s="156"/>
      <c r="O29" s="156">
        <f>P29+R29</f>
        <v>0</v>
      </c>
      <c r="P29" s="156"/>
      <c r="Q29" s="156"/>
      <c r="R29" s="156"/>
    </row>
    <row r="30" spans="1:18" ht="33.75" customHeight="1">
      <c r="A30" s="147">
        <v>700</v>
      </c>
      <c r="B30" s="147"/>
      <c r="C30" s="147"/>
      <c r="D30" s="147" t="s">
        <v>213</v>
      </c>
      <c r="E30" s="148">
        <f aca="true" t="shared" si="11" ref="E30:R30">E31+E36</f>
        <v>579557</v>
      </c>
      <c r="F30" s="148">
        <f t="shared" si="11"/>
        <v>579557</v>
      </c>
      <c r="G30" s="148">
        <f t="shared" si="11"/>
        <v>292000</v>
      </c>
      <c r="H30" s="148">
        <f t="shared" si="11"/>
        <v>0</v>
      </c>
      <c r="I30" s="148">
        <f t="shared" si="11"/>
        <v>292000</v>
      </c>
      <c r="J30" s="148">
        <f t="shared" si="11"/>
        <v>0</v>
      </c>
      <c r="K30" s="148">
        <f t="shared" si="11"/>
        <v>0</v>
      </c>
      <c r="L30" s="148">
        <f t="shared" si="11"/>
        <v>0</v>
      </c>
      <c r="M30" s="148">
        <f t="shared" si="11"/>
        <v>287557</v>
      </c>
      <c r="N30" s="148">
        <f t="shared" si="11"/>
        <v>0</v>
      </c>
      <c r="O30" s="148">
        <f t="shared" si="11"/>
        <v>0</v>
      </c>
      <c r="P30" s="148">
        <f t="shared" si="11"/>
        <v>0</v>
      </c>
      <c r="Q30" s="148">
        <f t="shared" si="11"/>
        <v>0</v>
      </c>
      <c r="R30" s="148">
        <f t="shared" si="11"/>
        <v>0</v>
      </c>
    </row>
    <row r="31" spans="1:18" ht="22.5" customHeight="1">
      <c r="A31" s="150"/>
      <c r="B31" s="150">
        <v>70005</v>
      </c>
      <c r="C31" s="150"/>
      <c r="D31" s="161" t="s">
        <v>42</v>
      </c>
      <c r="E31" s="152">
        <f aca="true" t="shared" si="12" ref="E31:R31">SUM(E32:E35)</f>
        <v>316375</v>
      </c>
      <c r="F31" s="152">
        <f t="shared" si="12"/>
        <v>316375</v>
      </c>
      <c r="G31" s="152">
        <f t="shared" si="12"/>
        <v>92000</v>
      </c>
      <c r="H31" s="152">
        <f t="shared" si="12"/>
        <v>0</v>
      </c>
      <c r="I31" s="152">
        <f t="shared" si="12"/>
        <v>92000</v>
      </c>
      <c r="J31" s="152">
        <f t="shared" si="12"/>
        <v>0</v>
      </c>
      <c r="K31" s="152">
        <f t="shared" si="12"/>
        <v>0</v>
      </c>
      <c r="L31" s="152">
        <f t="shared" si="12"/>
        <v>0</v>
      </c>
      <c r="M31" s="152">
        <f t="shared" si="12"/>
        <v>224375</v>
      </c>
      <c r="N31" s="152">
        <f t="shared" si="12"/>
        <v>0</v>
      </c>
      <c r="O31" s="152">
        <f t="shared" si="12"/>
        <v>0</v>
      </c>
      <c r="P31" s="152">
        <f t="shared" si="12"/>
        <v>0</v>
      </c>
      <c r="Q31" s="152">
        <f t="shared" si="12"/>
        <v>0</v>
      </c>
      <c r="R31" s="152">
        <f t="shared" si="12"/>
        <v>0</v>
      </c>
    </row>
    <row r="32" spans="1:18" ht="22.5" customHeight="1">
      <c r="A32" s="150"/>
      <c r="B32" s="154"/>
      <c r="C32" s="154">
        <v>4270</v>
      </c>
      <c r="D32" s="153" t="s">
        <v>212</v>
      </c>
      <c r="E32" s="155">
        <f>F32+O32</f>
        <v>30000</v>
      </c>
      <c r="F32" s="155">
        <f>G32+K32+L32+J32+N32+M32</f>
        <v>30000</v>
      </c>
      <c r="G32" s="155">
        <f>H32+I32</f>
        <v>30000</v>
      </c>
      <c r="H32" s="156"/>
      <c r="I32" s="157">
        <v>30000</v>
      </c>
      <c r="J32" s="156"/>
      <c r="K32" s="156"/>
      <c r="L32" s="156"/>
      <c r="M32" s="156"/>
      <c r="N32" s="156"/>
      <c r="O32" s="156">
        <f>P32+R32</f>
        <v>0</v>
      </c>
      <c r="P32" s="156"/>
      <c r="Q32" s="156"/>
      <c r="R32" s="156"/>
    </row>
    <row r="33" spans="1:18" ht="22.5" customHeight="1">
      <c r="A33" s="150"/>
      <c r="B33" s="154"/>
      <c r="C33" s="154">
        <v>4300</v>
      </c>
      <c r="D33" s="153" t="s">
        <v>205</v>
      </c>
      <c r="E33" s="155">
        <f>F33+O33</f>
        <v>55000</v>
      </c>
      <c r="F33" s="155">
        <f>G33+K33+L33+J33+N33+M33</f>
        <v>55000</v>
      </c>
      <c r="G33" s="155">
        <f>H33+I33</f>
        <v>55000</v>
      </c>
      <c r="H33" s="156"/>
      <c r="I33" s="157">
        <v>55000</v>
      </c>
      <c r="J33" s="156"/>
      <c r="K33" s="156"/>
      <c r="L33" s="156"/>
      <c r="M33" s="156"/>
      <c r="N33" s="156"/>
      <c r="O33" s="156">
        <f>P33+R33</f>
        <v>0</v>
      </c>
      <c r="P33" s="156"/>
      <c r="Q33" s="156"/>
      <c r="R33" s="156"/>
    </row>
    <row r="34" spans="1:18" ht="22.5" customHeight="1">
      <c r="A34" s="154"/>
      <c r="B34" s="154"/>
      <c r="C34" s="154">
        <v>4430</v>
      </c>
      <c r="D34" s="153" t="s">
        <v>214</v>
      </c>
      <c r="E34" s="155">
        <f>F34+O34</f>
        <v>7000</v>
      </c>
      <c r="F34" s="155">
        <f>G34+K34+L34+J34+N34+M34</f>
        <v>7000</v>
      </c>
      <c r="G34" s="155">
        <f>H34+I34</f>
        <v>7000</v>
      </c>
      <c r="H34" s="156"/>
      <c r="I34" s="157">
        <v>7000</v>
      </c>
      <c r="J34" s="157"/>
      <c r="K34" s="157"/>
      <c r="L34" s="157"/>
      <c r="M34" s="156"/>
      <c r="N34" s="156"/>
      <c r="O34" s="156">
        <f>P34+R34</f>
        <v>0</v>
      </c>
      <c r="P34" s="156"/>
      <c r="Q34" s="156"/>
      <c r="R34" s="156"/>
    </row>
    <row r="35" spans="1:18" ht="22.5" customHeight="1">
      <c r="A35" s="150"/>
      <c r="B35" s="154"/>
      <c r="C35" s="154">
        <v>8020</v>
      </c>
      <c r="D35" s="153" t="s">
        <v>215</v>
      </c>
      <c r="E35" s="155">
        <f>F35+O35</f>
        <v>224375</v>
      </c>
      <c r="F35" s="155">
        <f>G35+K35+L35+J35+N35+M35</f>
        <v>224375</v>
      </c>
      <c r="G35" s="155">
        <f>H35+I35</f>
        <v>0</v>
      </c>
      <c r="H35" s="156"/>
      <c r="I35" s="156"/>
      <c r="J35" s="156"/>
      <c r="K35" s="156"/>
      <c r="L35" s="156"/>
      <c r="M35" s="156">
        <v>224375</v>
      </c>
      <c r="N35" s="156"/>
      <c r="O35" s="156"/>
      <c r="P35" s="156"/>
      <c r="Q35" s="156"/>
      <c r="R35" s="156"/>
    </row>
    <row r="36" spans="1:18" ht="22.5" customHeight="1">
      <c r="A36" s="150"/>
      <c r="B36" s="150">
        <v>70021</v>
      </c>
      <c r="C36" s="150"/>
      <c r="D36" s="161" t="s">
        <v>216</v>
      </c>
      <c r="E36" s="152">
        <f aca="true" t="shared" si="13" ref="E36:R36">SUM(E37:E38)</f>
        <v>263182</v>
      </c>
      <c r="F36" s="152">
        <f t="shared" si="13"/>
        <v>263182</v>
      </c>
      <c r="G36" s="152">
        <f t="shared" si="13"/>
        <v>200000</v>
      </c>
      <c r="H36" s="152">
        <f t="shared" si="13"/>
        <v>0</v>
      </c>
      <c r="I36" s="152">
        <f t="shared" si="13"/>
        <v>200000</v>
      </c>
      <c r="J36" s="152">
        <f t="shared" si="13"/>
        <v>0</v>
      </c>
      <c r="K36" s="152">
        <f t="shared" si="13"/>
        <v>0</v>
      </c>
      <c r="L36" s="152">
        <f t="shared" si="13"/>
        <v>0</v>
      </c>
      <c r="M36" s="152">
        <f t="shared" si="13"/>
        <v>63182</v>
      </c>
      <c r="N36" s="152">
        <f t="shared" si="13"/>
        <v>0</v>
      </c>
      <c r="O36" s="152">
        <f t="shared" si="13"/>
        <v>0</v>
      </c>
      <c r="P36" s="152">
        <f t="shared" si="13"/>
        <v>0</v>
      </c>
      <c r="Q36" s="152">
        <f t="shared" si="13"/>
        <v>0</v>
      </c>
      <c r="R36" s="152">
        <f t="shared" si="13"/>
        <v>0</v>
      </c>
    </row>
    <row r="37" spans="1:18" ht="22.5" customHeight="1">
      <c r="A37" s="150"/>
      <c r="B37" s="154"/>
      <c r="C37" s="154">
        <v>4270</v>
      </c>
      <c r="D37" s="153" t="s">
        <v>212</v>
      </c>
      <c r="E37" s="155">
        <f>F37+O37</f>
        <v>200000</v>
      </c>
      <c r="F37" s="155">
        <f>G37+K37+L37+J37+N37+M37</f>
        <v>200000</v>
      </c>
      <c r="G37" s="155">
        <f>H37+I37</f>
        <v>200000</v>
      </c>
      <c r="H37" s="156"/>
      <c r="I37" s="157">
        <v>200000</v>
      </c>
      <c r="J37" s="157"/>
      <c r="K37" s="156"/>
      <c r="L37" s="156"/>
      <c r="M37" s="156"/>
      <c r="N37" s="156"/>
      <c r="O37" s="156">
        <f>P37+R37</f>
        <v>0</v>
      </c>
      <c r="P37" s="156"/>
      <c r="Q37" s="156"/>
      <c r="R37" s="156"/>
    </row>
    <row r="38" spans="1:18" ht="22.5" customHeight="1">
      <c r="A38" s="150"/>
      <c r="B38" s="154"/>
      <c r="C38" s="154">
        <v>8020</v>
      </c>
      <c r="D38" s="153" t="s">
        <v>215</v>
      </c>
      <c r="E38" s="155">
        <f>F38+O38</f>
        <v>63182</v>
      </c>
      <c r="F38" s="155">
        <f>G38+K38+L38+J38+N38+M38</f>
        <v>63182</v>
      </c>
      <c r="G38" s="155">
        <f>H38+I38</f>
        <v>0</v>
      </c>
      <c r="H38" s="156"/>
      <c r="I38" s="156"/>
      <c r="J38" s="156"/>
      <c r="K38" s="156"/>
      <c r="L38" s="156"/>
      <c r="M38" s="156">
        <v>63182</v>
      </c>
      <c r="N38" s="156"/>
      <c r="O38" s="156"/>
      <c r="P38" s="156"/>
      <c r="Q38" s="156"/>
      <c r="R38" s="156"/>
    </row>
    <row r="39" spans="1:18" ht="33.75" customHeight="1">
      <c r="A39" s="147">
        <v>710</v>
      </c>
      <c r="B39" s="147"/>
      <c r="C39" s="147"/>
      <c r="D39" s="147" t="s">
        <v>217</v>
      </c>
      <c r="E39" s="148">
        <f aca="true" t="shared" si="14" ref="E39:R39">E42+E40+E44+E46</f>
        <v>405590</v>
      </c>
      <c r="F39" s="148">
        <f t="shared" si="14"/>
        <v>405590</v>
      </c>
      <c r="G39" s="148">
        <f t="shared" si="14"/>
        <v>405590</v>
      </c>
      <c r="H39" s="148">
        <f t="shared" si="14"/>
        <v>0</v>
      </c>
      <c r="I39" s="148">
        <f t="shared" si="14"/>
        <v>405590</v>
      </c>
      <c r="J39" s="148">
        <f t="shared" si="14"/>
        <v>0</v>
      </c>
      <c r="K39" s="148">
        <f t="shared" si="14"/>
        <v>0</v>
      </c>
      <c r="L39" s="148">
        <f t="shared" si="14"/>
        <v>0</v>
      </c>
      <c r="M39" s="148">
        <f t="shared" si="14"/>
        <v>0</v>
      </c>
      <c r="N39" s="148">
        <f t="shared" si="14"/>
        <v>0</v>
      </c>
      <c r="O39" s="148">
        <f t="shared" si="14"/>
        <v>0</v>
      </c>
      <c r="P39" s="148">
        <f t="shared" si="14"/>
        <v>0</v>
      </c>
      <c r="Q39" s="148">
        <f t="shared" si="14"/>
        <v>0</v>
      </c>
      <c r="R39" s="148">
        <f t="shared" si="14"/>
        <v>0</v>
      </c>
    </row>
    <row r="40" spans="1:18" ht="22.5" customHeight="1">
      <c r="A40" s="150"/>
      <c r="B40" s="150">
        <v>71004</v>
      </c>
      <c r="C40" s="150"/>
      <c r="D40" s="161" t="s">
        <v>218</v>
      </c>
      <c r="E40" s="152">
        <f aca="true" t="shared" si="15" ref="E40:R40">E41</f>
        <v>45100</v>
      </c>
      <c r="F40" s="152">
        <f t="shared" si="15"/>
        <v>45100</v>
      </c>
      <c r="G40" s="152">
        <f t="shared" si="15"/>
        <v>45100</v>
      </c>
      <c r="H40" s="152">
        <f t="shared" si="15"/>
        <v>0</v>
      </c>
      <c r="I40" s="152">
        <f t="shared" si="15"/>
        <v>45100</v>
      </c>
      <c r="J40" s="152">
        <f t="shared" si="15"/>
        <v>0</v>
      </c>
      <c r="K40" s="152">
        <f t="shared" si="15"/>
        <v>0</v>
      </c>
      <c r="L40" s="152">
        <f t="shared" si="15"/>
        <v>0</v>
      </c>
      <c r="M40" s="152">
        <f t="shared" si="15"/>
        <v>0</v>
      </c>
      <c r="N40" s="152">
        <f t="shared" si="15"/>
        <v>0</v>
      </c>
      <c r="O40" s="152">
        <f t="shared" si="15"/>
        <v>0</v>
      </c>
      <c r="P40" s="152">
        <f t="shared" si="15"/>
        <v>0</v>
      </c>
      <c r="Q40" s="152">
        <f t="shared" si="15"/>
        <v>0</v>
      </c>
      <c r="R40" s="152">
        <f t="shared" si="15"/>
        <v>0</v>
      </c>
    </row>
    <row r="41" spans="1:18" ht="22.5" customHeight="1">
      <c r="A41" s="150"/>
      <c r="B41" s="154"/>
      <c r="C41" s="154">
        <v>4300</v>
      </c>
      <c r="D41" s="153" t="s">
        <v>205</v>
      </c>
      <c r="E41" s="155">
        <f>F41+O41</f>
        <v>45100</v>
      </c>
      <c r="F41" s="155">
        <f>G41+K41+L41+J41+N41+M41</f>
        <v>45100</v>
      </c>
      <c r="G41" s="155">
        <f>H41+I41</f>
        <v>45100</v>
      </c>
      <c r="H41" s="156"/>
      <c r="I41" s="157">
        <f>38100+7000</f>
        <v>45100</v>
      </c>
      <c r="J41" s="156"/>
      <c r="K41" s="156"/>
      <c r="L41" s="156"/>
      <c r="M41" s="156"/>
      <c r="N41" s="156"/>
      <c r="O41" s="156">
        <f aca="true" t="shared" si="16" ref="O41:O47">P41+R41</f>
        <v>0</v>
      </c>
      <c r="P41" s="156"/>
      <c r="Q41" s="156"/>
      <c r="R41" s="156"/>
    </row>
    <row r="42" spans="1:18" ht="22.5" customHeight="1">
      <c r="A42" s="150"/>
      <c r="B42" s="150">
        <v>71013</v>
      </c>
      <c r="C42" s="150"/>
      <c r="D42" s="161" t="s">
        <v>219</v>
      </c>
      <c r="E42" s="152">
        <f aca="true" t="shared" si="17" ref="E42:M42">E43</f>
        <v>15000</v>
      </c>
      <c r="F42" s="152">
        <f t="shared" si="17"/>
        <v>15000</v>
      </c>
      <c r="G42" s="152">
        <f t="shared" si="17"/>
        <v>15000</v>
      </c>
      <c r="H42" s="152">
        <f t="shared" si="17"/>
        <v>0</v>
      </c>
      <c r="I42" s="152">
        <f t="shared" si="17"/>
        <v>15000</v>
      </c>
      <c r="J42" s="152">
        <f t="shared" si="17"/>
        <v>0</v>
      </c>
      <c r="K42" s="152">
        <f t="shared" si="17"/>
        <v>0</v>
      </c>
      <c r="L42" s="152">
        <f t="shared" si="17"/>
        <v>0</v>
      </c>
      <c r="M42" s="152">
        <f t="shared" si="17"/>
        <v>0</v>
      </c>
      <c r="N42" s="152"/>
      <c r="O42" s="156">
        <f t="shared" si="16"/>
        <v>0</v>
      </c>
      <c r="P42" s="152">
        <f>P43</f>
        <v>0</v>
      </c>
      <c r="Q42" s="152">
        <f>Q43</f>
        <v>0</v>
      </c>
      <c r="R42" s="152">
        <f>R43</f>
        <v>0</v>
      </c>
    </row>
    <row r="43" spans="1:18" ht="22.5" customHeight="1">
      <c r="A43" s="150"/>
      <c r="B43" s="154"/>
      <c r="C43" s="154">
        <v>4300</v>
      </c>
      <c r="D43" s="153" t="s">
        <v>205</v>
      </c>
      <c r="E43" s="155">
        <f>F43+O43</f>
        <v>15000</v>
      </c>
      <c r="F43" s="155">
        <f>G43+K43+L43+J43+N43+M43</f>
        <v>15000</v>
      </c>
      <c r="G43" s="155">
        <f>H43+I43</f>
        <v>15000</v>
      </c>
      <c r="H43" s="156"/>
      <c r="I43" s="157">
        <f>10000+5000</f>
        <v>15000</v>
      </c>
      <c r="J43" s="156"/>
      <c r="K43" s="156"/>
      <c r="L43" s="156"/>
      <c r="M43" s="156"/>
      <c r="N43" s="156"/>
      <c r="O43" s="156">
        <f t="shared" si="16"/>
        <v>0</v>
      </c>
      <c r="P43" s="156"/>
      <c r="Q43" s="156"/>
      <c r="R43" s="156"/>
    </row>
    <row r="44" spans="1:18" ht="22.5" customHeight="1">
      <c r="A44" s="150"/>
      <c r="B44" s="150">
        <v>71035</v>
      </c>
      <c r="C44" s="150"/>
      <c r="D44" s="161" t="s">
        <v>55</v>
      </c>
      <c r="E44" s="152">
        <f aca="true" t="shared" si="18" ref="E44:M44">SUM(E45:E45)</f>
        <v>305490</v>
      </c>
      <c r="F44" s="152">
        <f t="shared" si="18"/>
        <v>305490</v>
      </c>
      <c r="G44" s="152">
        <f t="shared" si="18"/>
        <v>305490</v>
      </c>
      <c r="H44" s="152">
        <f t="shared" si="18"/>
        <v>0</v>
      </c>
      <c r="I44" s="152">
        <f t="shared" si="18"/>
        <v>305490</v>
      </c>
      <c r="J44" s="152">
        <f t="shared" si="18"/>
        <v>0</v>
      </c>
      <c r="K44" s="152">
        <f t="shared" si="18"/>
        <v>0</v>
      </c>
      <c r="L44" s="152">
        <f t="shared" si="18"/>
        <v>0</v>
      </c>
      <c r="M44" s="152">
        <f t="shared" si="18"/>
        <v>0</v>
      </c>
      <c r="N44" s="152"/>
      <c r="O44" s="156">
        <f t="shared" si="16"/>
        <v>0</v>
      </c>
      <c r="P44" s="152">
        <f>SUM(P45:P45)</f>
        <v>0</v>
      </c>
      <c r="Q44" s="152">
        <f>SUM(Q45:Q45)</f>
        <v>0</v>
      </c>
      <c r="R44" s="152">
        <f>SUM(R45:R45)</f>
        <v>0</v>
      </c>
    </row>
    <row r="45" spans="1:18" ht="22.5" customHeight="1">
      <c r="A45" s="150"/>
      <c r="B45" s="154"/>
      <c r="C45" s="154">
        <v>4300</v>
      </c>
      <c r="D45" s="153" t="s">
        <v>205</v>
      </c>
      <c r="E45" s="155">
        <f>F45+O45</f>
        <v>305490</v>
      </c>
      <c r="F45" s="155">
        <f>G45+K45+L45+J45+N45+M45</f>
        <v>305490</v>
      </c>
      <c r="G45" s="155">
        <f>H45+I45</f>
        <v>305490</v>
      </c>
      <c r="H45" s="156"/>
      <c r="I45" s="157">
        <f>300000+5490</f>
        <v>305490</v>
      </c>
      <c r="J45" s="156"/>
      <c r="K45" s="156"/>
      <c r="L45" s="156"/>
      <c r="M45" s="156"/>
      <c r="N45" s="156"/>
      <c r="O45" s="156">
        <f t="shared" si="16"/>
        <v>0</v>
      </c>
      <c r="P45" s="156"/>
      <c r="Q45" s="156"/>
      <c r="R45" s="156"/>
    </row>
    <row r="46" spans="1:18" ht="22.5" customHeight="1">
      <c r="A46" s="150"/>
      <c r="B46" s="150">
        <v>71095</v>
      </c>
      <c r="C46" s="150"/>
      <c r="D46" s="161" t="s">
        <v>30</v>
      </c>
      <c r="E46" s="152">
        <f aca="true" t="shared" si="19" ref="E46:M46">E47</f>
        <v>40000</v>
      </c>
      <c r="F46" s="152">
        <f t="shared" si="19"/>
        <v>40000</v>
      </c>
      <c r="G46" s="152">
        <f t="shared" si="19"/>
        <v>40000</v>
      </c>
      <c r="H46" s="152">
        <f t="shared" si="19"/>
        <v>0</v>
      </c>
      <c r="I46" s="152">
        <f t="shared" si="19"/>
        <v>40000</v>
      </c>
      <c r="J46" s="152">
        <f t="shared" si="19"/>
        <v>0</v>
      </c>
      <c r="K46" s="152">
        <f t="shared" si="19"/>
        <v>0</v>
      </c>
      <c r="L46" s="152">
        <f t="shared" si="19"/>
        <v>0</v>
      </c>
      <c r="M46" s="152">
        <f t="shared" si="19"/>
        <v>0</v>
      </c>
      <c r="N46" s="152"/>
      <c r="O46" s="156">
        <f t="shared" si="16"/>
        <v>0</v>
      </c>
      <c r="P46" s="152">
        <f>P47</f>
        <v>0</v>
      </c>
      <c r="Q46" s="152">
        <f>Q47</f>
        <v>0</v>
      </c>
      <c r="R46" s="152">
        <f>R47</f>
        <v>0</v>
      </c>
    </row>
    <row r="47" spans="1:18" ht="22.5" customHeight="1">
      <c r="A47" s="150"/>
      <c r="B47" s="154"/>
      <c r="C47" s="154">
        <v>4300</v>
      </c>
      <c r="D47" s="153" t="s">
        <v>205</v>
      </c>
      <c r="E47" s="155">
        <f>F47+O47</f>
        <v>40000</v>
      </c>
      <c r="F47" s="155">
        <f>G47+K47+L47+J47+N47+M47</f>
        <v>40000</v>
      </c>
      <c r="G47" s="155">
        <f>H47+I47</f>
        <v>40000</v>
      </c>
      <c r="H47" s="156"/>
      <c r="I47" s="157">
        <v>40000</v>
      </c>
      <c r="J47" s="156"/>
      <c r="K47" s="156"/>
      <c r="L47" s="156"/>
      <c r="M47" s="156"/>
      <c r="N47" s="156"/>
      <c r="O47" s="156">
        <f t="shared" si="16"/>
        <v>0</v>
      </c>
      <c r="P47" s="156"/>
      <c r="Q47" s="156"/>
      <c r="R47" s="156"/>
    </row>
    <row r="48" spans="1:18" ht="33.75" customHeight="1">
      <c r="A48" s="147">
        <v>750</v>
      </c>
      <c r="B48" s="147"/>
      <c r="C48" s="147"/>
      <c r="D48" s="147" t="s">
        <v>56</v>
      </c>
      <c r="E48" s="148">
        <f aca="true" t="shared" si="20" ref="E48:R48">E49+E53+E76+E80</f>
        <v>4145382</v>
      </c>
      <c r="F48" s="148">
        <f t="shared" si="20"/>
        <v>4145382</v>
      </c>
      <c r="G48" s="148">
        <f t="shared" si="20"/>
        <v>3776590</v>
      </c>
      <c r="H48" s="148">
        <f t="shared" si="20"/>
        <v>3088060</v>
      </c>
      <c r="I48" s="148">
        <f t="shared" si="20"/>
        <v>688530</v>
      </c>
      <c r="J48" s="148">
        <f t="shared" si="20"/>
        <v>0</v>
      </c>
      <c r="K48" s="148">
        <f t="shared" si="20"/>
        <v>368792</v>
      </c>
      <c r="L48" s="148">
        <f t="shared" si="20"/>
        <v>0</v>
      </c>
      <c r="M48" s="148">
        <f t="shared" si="20"/>
        <v>0</v>
      </c>
      <c r="N48" s="148">
        <f t="shared" si="20"/>
        <v>0</v>
      </c>
      <c r="O48" s="148">
        <f t="shared" si="20"/>
        <v>0</v>
      </c>
      <c r="P48" s="148">
        <f t="shared" si="20"/>
        <v>0</v>
      </c>
      <c r="Q48" s="148">
        <f t="shared" si="20"/>
        <v>0</v>
      </c>
      <c r="R48" s="148">
        <f t="shared" si="20"/>
        <v>0</v>
      </c>
    </row>
    <row r="49" spans="1:18" ht="22.5" customHeight="1">
      <c r="A49" s="150"/>
      <c r="B49" s="150">
        <v>75022</v>
      </c>
      <c r="C49" s="150"/>
      <c r="D49" s="161" t="s">
        <v>220</v>
      </c>
      <c r="E49" s="152">
        <f aca="true" t="shared" si="21" ref="E49:R49">SUM(E50:E52)</f>
        <v>273200</v>
      </c>
      <c r="F49" s="152">
        <f t="shared" si="21"/>
        <v>273200</v>
      </c>
      <c r="G49" s="152">
        <f t="shared" si="21"/>
        <v>19200</v>
      </c>
      <c r="H49" s="152">
        <f t="shared" si="21"/>
        <v>0</v>
      </c>
      <c r="I49" s="152">
        <f t="shared" si="21"/>
        <v>19200</v>
      </c>
      <c r="J49" s="152">
        <f t="shared" si="21"/>
        <v>0</v>
      </c>
      <c r="K49" s="152">
        <f t="shared" si="21"/>
        <v>254000</v>
      </c>
      <c r="L49" s="152">
        <f t="shared" si="21"/>
        <v>0</v>
      </c>
      <c r="M49" s="152">
        <f t="shared" si="21"/>
        <v>0</v>
      </c>
      <c r="N49" s="152">
        <f t="shared" si="21"/>
        <v>0</v>
      </c>
      <c r="O49" s="152">
        <f t="shared" si="21"/>
        <v>0</v>
      </c>
      <c r="P49" s="152">
        <f t="shared" si="21"/>
        <v>0</v>
      </c>
      <c r="Q49" s="152">
        <f t="shared" si="21"/>
        <v>0</v>
      </c>
      <c r="R49" s="152">
        <f t="shared" si="21"/>
        <v>0</v>
      </c>
    </row>
    <row r="50" spans="1:18" ht="22.5" customHeight="1">
      <c r="A50" s="154"/>
      <c r="B50" s="154"/>
      <c r="C50" s="154">
        <v>3030</v>
      </c>
      <c r="D50" s="153" t="s">
        <v>221</v>
      </c>
      <c r="E50" s="155">
        <f>F50+O50</f>
        <v>254000</v>
      </c>
      <c r="F50" s="155">
        <f>G50+K50+L50+J50+N50+M50</f>
        <v>254000</v>
      </c>
      <c r="G50" s="155">
        <f>H50+I50</f>
        <v>0</v>
      </c>
      <c r="H50" s="156"/>
      <c r="I50" s="156"/>
      <c r="J50" s="156"/>
      <c r="K50" s="157">
        <v>254000</v>
      </c>
      <c r="L50" s="156"/>
      <c r="M50" s="156"/>
      <c r="N50" s="159"/>
      <c r="O50" s="156">
        <f>P50+R50</f>
        <v>0</v>
      </c>
      <c r="P50" s="156"/>
      <c r="Q50" s="156"/>
      <c r="R50" s="156"/>
    </row>
    <row r="51" spans="1:18" ht="22.5" customHeight="1">
      <c r="A51" s="150"/>
      <c r="B51" s="154"/>
      <c r="C51" s="154">
        <v>4210</v>
      </c>
      <c r="D51" s="153" t="s">
        <v>222</v>
      </c>
      <c r="E51" s="155">
        <f>F51+O51</f>
        <v>13200</v>
      </c>
      <c r="F51" s="155">
        <f>G51+K51+L51+J51+N51+M51</f>
        <v>13200</v>
      </c>
      <c r="G51" s="155">
        <f>H51+I51</f>
        <v>13200</v>
      </c>
      <c r="H51" s="156"/>
      <c r="I51" s="157">
        <v>13200</v>
      </c>
      <c r="J51" s="156"/>
      <c r="K51" s="156"/>
      <c r="L51" s="156"/>
      <c r="M51" s="156"/>
      <c r="N51" s="156"/>
      <c r="O51" s="156">
        <f>P51+R51</f>
        <v>0</v>
      </c>
      <c r="P51" s="156"/>
      <c r="Q51" s="156"/>
      <c r="R51" s="156"/>
    </row>
    <row r="52" spans="1:18" ht="22.5" customHeight="1">
      <c r="A52" s="150"/>
      <c r="B52" s="154"/>
      <c r="C52" s="154">
        <v>4300</v>
      </c>
      <c r="D52" s="153" t="s">
        <v>205</v>
      </c>
      <c r="E52" s="155">
        <f>F52+O52</f>
        <v>6000</v>
      </c>
      <c r="F52" s="155">
        <f>G52+K52+L52+J52+N52+M52</f>
        <v>6000</v>
      </c>
      <c r="G52" s="155">
        <f>H52+I52</f>
        <v>6000</v>
      </c>
      <c r="H52" s="156"/>
      <c r="I52" s="157">
        <v>6000</v>
      </c>
      <c r="J52" s="156"/>
      <c r="K52" s="156"/>
      <c r="L52" s="156"/>
      <c r="M52" s="156"/>
      <c r="N52" s="156"/>
      <c r="O52" s="156">
        <f>P52+R52</f>
        <v>0</v>
      </c>
      <c r="P52" s="156"/>
      <c r="Q52" s="156"/>
      <c r="R52" s="156"/>
    </row>
    <row r="53" spans="1:18" ht="22.5" customHeight="1">
      <c r="A53" s="150"/>
      <c r="B53" s="150">
        <v>75023</v>
      </c>
      <c r="C53" s="150"/>
      <c r="D53" s="161" t="s">
        <v>57</v>
      </c>
      <c r="E53" s="152">
        <f aca="true" t="shared" si="22" ref="E53:R53">SUM(E54:E75)</f>
        <v>3704390</v>
      </c>
      <c r="F53" s="152">
        <f t="shared" si="22"/>
        <v>3704390</v>
      </c>
      <c r="G53" s="152">
        <f t="shared" si="22"/>
        <v>3689390</v>
      </c>
      <c r="H53" s="152">
        <f t="shared" si="22"/>
        <v>3086060</v>
      </c>
      <c r="I53" s="152">
        <f t="shared" si="22"/>
        <v>603330</v>
      </c>
      <c r="J53" s="152">
        <f t="shared" si="22"/>
        <v>0</v>
      </c>
      <c r="K53" s="152">
        <f t="shared" si="22"/>
        <v>15000</v>
      </c>
      <c r="L53" s="152">
        <f t="shared" si="22"/>
        <v>0</v>
      </c>
      <c r="M53" s="152">
        <f t="shared" si="22"/>
        <v>0</v>
      </c>
      <c r="N53" s="152">
        <f t="shared" si="22"/>
        <v>0</v>
      </c>
      <c r="O53" s="152">
        <f t="shared" si="22"/>
        <v>0</v>
      </c>
      <c r="P53" s="152">
        <f t="shared" si="22"/>
        <v>0</v>
      </c>
      <c r="Q53" s="152">
        <f t="shared" si="22"/>
        <v>0</v>
      </c>
      <c r="R53" s="152">
        <f t="shared" si="22"/>
        <v>0</v>
      </c>
    </row>
    <row r="54" spans="1:18" ht="22.5" customHeight="1">
      <c r="A54" s="154"/>
      <c r="B54" s="154"/>
      <c r="C54" s="154">
        <v>3020</v>
      </c>
      <c r="D54" s="153" t="s">
        <v>223</v>
      </c>
      <c r="E54" s="155">
        <f aca="true" t="shared" si="23" ref="E54:E75">F54+O54</f>
        <v>15000</v>
      </c>
      <c r="F54" s="155">
        <f aca="true" t="shared" si="24" ref="F54:F75">G54+K54+L54+J54+N54+M54</f>
        <v>15000</v>
      </c>
      <c r="G54" s="155">
        <f aca="true" t="shared" si="25" ref="G54:G75">H54+I54</f>
        <v>0</v>
      </c>
      <c r="H54" s="156"/>
      <c r="I54" s="156"/>
      <c r="J54" s="156"/>
      <c r="K54" s="156">
        <v>15000</v>
      </c>
      <c r="L54" s="156"/>
      <c r="M54" s="156"/>
      <c r="N54" s="159"/>
      <c r="O54" s="156">
        <f aca="true" t="shared" si="26" ref="O54:O75">P54+R54</f>
        <v>0</v>
      </c>
      <c r="P54" s="156"/>
      <c r="Q54" s="156"/>
      <c r="R54" s="156"/>
    </row>
    <row r="55" spans="1:18" ht="22.5" customHeight="1">
      <c r="A55" s="154"/>
      <c r="B55" s="154"/>
      <c r="C55" s="154">
        <v>4010</v>
      </c>
      <c r="D55" s="153" t="s">
        <v>224</v>
      </c>
      <c r="E55" s="155">
        <f t="shared" si="23"/>
        <v>2397062</v>
      </c>
      <c r="F55" s="155">
        <f t="shared" si="24"/>
        <v>2397062</v>
      </c>
      <c r="G55" s="155">
        <f t="shared" si="25"/>
        <v>2397062</v>
      </c>
      <c r="H55" s="157">
        <v>2397062</v>
      </c>
      <c r="I55" s="156"/>
      <c r="J55" s="156"/>
      <c r="K55" s="156"/>
      <c r="L55" s="156"/>
      <c r="M55" s="156"/>
      <c r="N55" s="156"/>
      <c r="O55" s="156">
        <f t="shared" si="26"/>
        <v>0</v>
      </c>
      <c r="P55" s="156"/>
      <c r="Q55" s="156"/>
      <c r="R55" s="156"/>
    </row>
    <row r="56" spans="1:18" ht="22.5" customHeight="1">
      <c r="A56" s="154"/>
      <c r="B56" s="154"/>
      <c r="C56" s="154">
        <v>4040</v>
      </c>
      <c r="D56" s="153" t="s">
        <v>225</v>
      </c>
      <c r="E56" s="155">
        <f t="shared" si="23"/>
        <v>185000</v>
      </c>
      <c r="F56" s="155">
        <f t="shared" si="24"/>
        <v>185000</v>
      </c>
      <c r="G56" s="155">
        <f t="shared" si="25"/>
        <v>185000</v>
      </c>
      <c r="H56" s="157">
        <v>185000</v>
      </c>
      <c r="I56" s="156"/>
      <c r="J56" s="156"/>
      <c r="K56" s="156"/>
      <c r="L56" s="156"/>
      <c r="M56" s="156"/>
      <c r="N56" s="156"/>
      <c r="O56" s="156">
        <f t="shared" si="26"/>
        <v>0</v>
      </c>
      <c r="P56" s="156"/>
      <c r="Q56" s="156"/>
      <c r="R56" s="156"/>
    </row>
    <row r="57" spans="1:18" ht="22.5" customHeight="1">
      <c r="A57" s="154"/>
      <c r="B57" s="154"/>
      <c r="C57" s="154">
        <v>4110</v>
      </c>
      <c r="D57" s="153" t="s">
        <v>226</v>
      </c>
      <c r="E57" s="155">
        <f t="shared" si="23"/>
        <v>400478</v>
      </c>
      <c r="F57" s="155">
        <f t="shared" si="24"/>
        <v>400478</v>
      </c>
      <c r="G57" s="155">
        <f t="shared" si="25"/>
        <v>400478</v>
      </c>
      <c r="H57" s="157">
        <v>400478</v>
      </c>
      <c r="I57" s="157"/>
      <c r="J57" s="157"/>
      <c r="K57" s="157"/>
      <c r="L57" s="157"/>
      <c r="M57" s="156"/>
      <c r="N57" s="156"/>
      <c r="O57" s="156">
        <f t="shared" si="26"/>
        <v>0</v>
      </c>
      <c r="P57" s="156"/>
      <c r="Q57" s="156"/>
      <c r="R57" s="156"/>
    </row>
    <row r="58" spans="1:18" ht="22.5" customHeight="1">
      <c r="A58" s="154"/>
      <c r="B58" s="154"/>
      <c r="C58" s="154">
        <v>4120</v>
      </c>
      <c r="D58" s="153" t="s">
        <v>227</v>
      </c>
      <c r="E58" s="155">
        <f t="shared" si="23"/>
        <v>63260</v>
      </c>
      <c r="F58" s="155">
        <f t="shared" si="24"/>
        <v>63260</v>
      </c>
      <c r="G58" s="155">
        <f t="shared" si="25"/>
        <v>63260</v>
      </c>
      <c r="H58" s="157">
        <v>63260</v>
      </c>
      <c r="I58" s="157"/>
      <c r="J58" s="157"/>
      <c r="K58" s="157"/>
      <c r="L58" s="157"/>
      <c r="M58" s="156"/>
      <c r="N58" s="156"/>
      <c r="O58" s="156">
        <f t="shared" si="26"/>
        <v>0</v>
      </c>
      <c r="P58" s="156"/>
      <c r="Q58" s="156"/>
      <c r="R58" s="156"/>
    </row>
    <row r="59" spans="1:18" ht="22.5" customHeight="1">
      <c r="A59" s="154"/>
      <c r="B59" s="154"/>
      <c r="C59" s="154">
        <v>4140</v>
      </c>
      <c r="D59" s="153" t="s">
        <v>228</v>
      </c>
      <c r="E59" s="155">
        <f t="shared" si="23"/>
        <v>4100</v>
      </c>
      <c r="F59" s="155">
        <f t="shared" si="24"/>
        <v>4100</v>
      </c>
      <c r="G59" s="155">
        <f t="shared" si="25"/>
        <v>4100</v>
      </c>
      <c r="H59" s="156"/>
      <c r="I59" s="157">
        <v>4100</v>
      </c>
      <c r="J59" s="156"/>
      <c r="K59" s="156"/>
      <c r="L59" s="156"/>
      <c r="M59" s="156"/>
      <c r="N59" s="156"/>
      <c r="O59" s="156">
        <f t="shared" si="26"/>
        <v>0</v>
      </c>
      <c r="P59" s="156"/>
      <c r="Q59" s="156"/>
      <c r="R59" s="156"/>
    </row>
    <row r="60" spans="1:18" ht="22.5" customHeight="1">
      <c r="A60" s="154"/>
      <c r="B60" s="154"/>
      <c r="C60" s="154">
        <v>4170</v>
      </c>
      <c r="D60" s="153" t="s">
        <v>229</v>
      </c>
      <c r="E60" s="155">
        <f t="shared" si="23"/>
        <v>40260</v>
      </c>
      <c r="F60" s="155">
        <f t="shared" si="24"/>
        <v>40260</v>
      </c>
      <c r="G60" s="155">
        <f t="shared" si="25"/>
        <v>40260</v>
      </c>
      <c r="H60" s="157">
        <f>18000+15000+3900+3360</f>
        <v>40260</v>
      </c>
      <c r="I60" s="156"/>
      <c r="J60" s="156"/>
      <c r="K60" s="156"/>
      <c r="L60" s="156"/>
      <c r="M60" s="156"/>
      <c r="N60" s="156"/>
      <c r="O60" s="156">
        <f t="shared" si="26"/>
        <v>0</v>
      </c>
      <c r="P60" s="156"/>
      <c r="Q60" s="156"/>
      <c r="R60" s="156"/>
    </row>
    <row r="61" spans="1:18" ht="22.5" customHeight="1">
      <c r="A61" s="154"/>
      <c r="B61" s="154"/>
      <c r="C61" s="154">
        <v>4210</v>
      </c>
      <c r="D61" s="153" t="s">
        <v>209</v>
      </c>
      <c r="E61" s="155">
        <f t="shared" si="23"/>
        <v>138478</v>
      </c>
      <c r="F61" s="155">
        <f t="shared" si="24"/>
        <v>138478</v>
      </c>
      <c r="G61" s="155">
        <f t="shared" si="25"/>
        <v>138478</v>
      </c>
      <c r="H61" s="156"/>
      <c r="I61" s="157">
        <f>120000+9900+34000-25422</f>
        <v>138478</v>
      </c>
      <c r="J61" s="157"/>
      <c r="K61" s="157"/>
      <c r="L61" s="157"/>
      <c r="M61" s="156"/>
      <c r="N61" s="156"/>
      <c r="O61" s="156">
        <f t="shared" si="26"/>
        <v>0</v>
      </c>
      <c r="P61" s="156"/>
      <c r="Q61" s="156"/>
      <c r="R61" s="156"/>
    </row>
    <row r="62" spans="1:18" ht="22.5" customHeight="1">
      <c r="A62" s="154"/>
      <c r="B62" s="154"/>
      <c r="C62" s="154">
        <v>4260</v>
      </c>
      <c r="D62" s="153" t="s">
        <v>230</v>
      </c>
      <c r="E62" s="155">
        <f t="shared" si="23"/>
        <v>79500</v>
      </c>
      <c r="F62" s="155">
        <f t="shared" si="24"/>
        <v>79500</v>
      </c>
      <c r="G62" s="155">
        <f t="shared" si="25"/>
        <v>79500</v>
      </c>
      <c r="H62" s="156"/>
      <c r="I62" s="157">
        <v>79500</v>
      </c>
      <c r="J62" s="157"/>
      <c r="K62" s="157"/>
      <c r="L62" s="157"/>
      <c r="M62" s="156"/>
      <c r="N62" s="156"/>
      <c r="O62" s="156">
        <f t="shared" si="26"/>
        <v>0</v>
      </c>
      <c r="P62" s="156"/>
      <c r="Q62" s="156"/>
      <c r="R62" s="156"/>
    </row>
    <row r="63" spans="1:18" ht="22.5" customHeight="1">
      <c r="A63" s="154"/>
      <c r="B63" s="154"/>
      <c r="C63" s="154">
        <v>4270</v>
      </c>
      <c r="D63" s="153" t="s">
        <v>231</v>
      </c>
      <c r="E63" s="155">
        <f t="shared" si="23"/>
        <v>0</v>
      </c>
      <c r="F63" s="155">
        <f t="shared" si="24"/>
        <v>0</v>
      </c>
      <c r="G63" s="155">
        <f t="shared" si="25"/>
        <v>0</v>
      </c>
      <c r="H63" s="156"/>
      <c r="I63" s="157"/>
      <c r="J63" s="157"/>
      <c r="K63" s="157"/>
      <c r="L63" s="157"/>
      <c r="M63" s="156"/>
      <c r="N63" s="156"/>
      <c r="O63" s="156">
        <f t="shared" si="26"/>
        <v>0</v>
      </c>
      <c r="P63" s="156"/>
      <c r="Q63" s="156"/>
      <c r="R63" s="156"/>
    </row>
    <row r="64" spans="1:18" ht="22.5" customHeight="1">
      <c r="A64" s="154"/>
      <c r="B64" s="154"/>
      <c r="C64" s="154">
        <v>4280</v>
      </c>
      <c r="D64" s="153" t="s">
        <v>232</v>
      </c>
      <c r="E64" s="155">
        <f t="shared" si="23"/>
        <v>3500</v>
      </c>
      <c r="F64" s="155">
        <f t="shared" si="24"/>
        <v>3500</v>
      </c>
      <c r="G64" s="155">
        <f t="shared" si="25"/>
        <v>3500</v>
      </c>
      <c r="H64" s="156"/>
      <c r="I64" s="157">
        <v>3500</v>
      </c>
      <c r="J64" s="157"/>
      <c r="K64" s="157"/>
      <c r="L64" s="157"/>
      <c r="M64" s="156"/>
      <c r="N64" s="156"/>
      <c r="O64" s="156">
        <f t="shared" si="26"/>
        <v>0</v>
      </c>
      <c r="P64" s="156"/>
      <c r="Q64" s="156"/>
      <c r="R64" s="156"/>
    </row>
    <row r="65" spans="1:18" ht="22.5" customHeight="1">
      <c r="A65" s="154"/>
      <c r="B65" s="154"/>
      <c r="C65" s="154">
        <v>4300</v>
      </c>
      <c r="D65" s="153" t="s">
        <v>233</v>
      </c>
      <c r="E65" s="155">
        <f t="shared" si="23"/>
        <v>160000</v>
      </c>
      <c r="F65" s="155">
        <f t="shared" si="24"/>
        <v>160000</v>
      </c>
      <c r="G65" s="155">
        <f t="shared" si="25"/>
        <v>160000</v>
      </c>
      <c r="H65" s="156"/>
      <c r="I65" s="157">
        <v>160000</v>
      </c>
      <c r="J65" s="157"/>
      <c r="K65" s="157"/>
      <c r="L65" s="157"/>
      <c r="M65" s="156"/>
      <c r="N65" s="156"/>
      <c r="O65" s="156">
        <f t="shared" si="26"/>
        <v>0</v>
      </c>
      <c r="P65" s="156"/>
      <c r="Q65" s="156"/>
      <c r="R65" s="156"/>
    </row>
    <row r="66" spans="1:18" ht="22.5" customHeight="1">
      <c r="A66" s="154"/>
      <c r="B66" s="154"/>
      <c r="C66" s="154">
        <v>4350</v>
      </c>
      <c r="D66" s="153" t="s">
        <v>234</v>
      </c>
      <c r="E66" s="155">
        <f t="shared" si="23"/>
        <v>21200</v>
      </c>
      <c r="F66" s="155">
        <f t="shared" si="24"/>
        <v>21200</v>
      </c>
      <c r="G66" s="155">
        <f t="shared" si="25"/>
        <v>21200</v>
      </c>
      <c r="H66" s="156"/>
      <c r="I66" s="157">
        <v>21200</v>
      </c>
      <c r="J66" s="157"/>
      <c r="K66" s="157"/>
      <c r="L66" s="157"/>
      <c r="M66" s="156"/>
      <c r="N66" s="156"/>
      <c r="O66" s="156">
        <f t="shared" si="26"/>
        <v>0</v>
      </c>
      <c r="P66" s="156"/>
      <c r="Q66" s="156"/>
      <c r="R66" s="156"/>
    </row>
    <row r="67" spans="1:18" ht="36.75" customHeight="1">
      <c r="A67" s="154"/>
      <c r="B67" s="154"/>
      <c r="C67" s="154">
        <v>4360</v>
      </c>
      <c r="D67" s="153" t="s">
        <v>235</v>
      </c>
      <c r="E67" s="155">
        <f t="shared" si="23"/>
        <v>14500</v>
      </c>
      <c r="F67" s="155">
        <f t="shared" si="24"/>
        <v>14500</v>
      </c>
      <c r="G67" s="155">
        <f t="shared" si="25"/>
        <v>14500</v>
      </c>
      <c r="H67" s="156"/>
      <c r="I67" s="157">
        <v>14500</v>
      </c>
      <c r="J67" s="157"/>
      <c r="K67" s="157"/>
      <c r="L67" s="157"/>
      <c r="M67" s="156"/>
      <c r="N67" s="156"/>
      <c r="O67" s="156">
        <f t="shared" si="26"/>
        <v>0</v>
      </c>
      <c r="P67" s="156"/>
      <c r="Q67" s="156"/>
      <c r="R67" s="156"/>
    </row>
    <row r="68" spans="1:18" ht="36.75" customHeight="1">
      <c r="A68" s="154"/>
      <c r="B68" s="154"/>
      <c r="C68" s="154">
        <v>4370</v>
      </c>
      <c r="D68" s="153" t="s">
        <v>236</v>
      </c>
      <c r="E68" s="155">
        <f t="shared" si="23"/>
        <v>35000</v>
      </c>
      <c r="F68" s="155">
        <f t="shared" si="24"/>
        <v>35000</v>
      </c>
      <c r="G68" s="155">
        <f t="shared" si="25"/>
        <v>35000</v>
      </c>
      <c r="H68" s="156"/>
      <c r="I68" s="157">
        <v>35000</v>
      </c>
      <c r="J68" s="157"/>
      <c r="K68" s="157"/>
      <c r="L68" s="157"/>
      <c r="M68" s="156"/>
      <c r="N68" s="156"/>
      <c r="O68" s="156">
        <f t="shared" si="26"/>
        <v>0</v>
      </c>
      <c r="P68" s="156"/>
      <c r="Q68" s="156"/>
      <c r="R68" s="156"/>
    </row>
    <row r="69" spans="1:18" ht="22.5" customHeight="1">
      <c r="A69" s="154"/>
      <c r="B69" s="154"/>
      <c r="C69" s="154">
        <v>4380</v>
      </c>
      <c r="D69" s="153" t="s">
        <v>237</v>
      </c>
      <c r="E69" s="155">
        <f t="shared" si="23"/>
        <v>2000</v>
      </c>
      <c r="F69" s="155">
        <f t="shared" si="24"/>
        <v>2000</v>
      </c>
      <c r="G69" s="155">
        <f t="shared" si="25"/>
        <v>2000</v>
      </c>
      <c r="H69" s="156"/>
      <c r="I69" s="157">
        <v>2000</v>
      </c>
      <c r="J69" s="157"/>
      <c r="K69" s="157"/>
      <c r="L69" s="157"/>
      <c r="M69" s="156"/>
      <c r="N69" s="156"/>
      <c r="O69" s="156">
        <f t="shared" si="26"/>
        <v>0</v>
      </c>
      <c r="P69" s="156"/>
      <c r="Q69" s="156"/>
      <c r="R69" s="156"/>
    </row>
    <row r="70" spans="1:18" ht="22.5" customHeight="1">
      <c r="A70" s="154"/>
      <c r="B70" s="154"/>
      <c r="C70" s="154">
        <v>4410</v>
      </c>
      <c r="D70" s="153" t="s">
        <v>238</v>
      </c>
      <c r="E70" s="155">
        <f t="shared" si="23"/>
        <v>36000</v>
      </c>
      <c r="F70" s="155">
        <f t="shared" si="24"/>
        <v>36000</v>
      </c>
      <c r="G70" s="155">
        <f t="shared" si="25"/>
        <v>36000</v>
      </c>
      <c r="H70" s="156"/>
      <c r="I70" s="157">
        <v>36000</v>
      </c>
      <c r="J70" s="157"/>
      <c r="K70" s="157"/>
      <c r="L70" s="157"/>
      <c r="M70" s="156"/>
      <c r="N70" s="156"/>
      <c r="O70" s="156">
        <f t="shared" si="26"/>
        <v>0</v>
      </c>
      <c r="P70" s="156"/>
      <c r="Q70" s="156"/>
      <c r="R70" s="156"/>
    </row>
    <row r="71" spans="1:18" ht="22.5" customHeight="1">
      <c r="A71" s="154"/>
      <c r="B71" s="154"/>
      <c r="C71" s="154">
        <v>4420</v>
      </c>
      <c r="D71" s="153" t="s">
        <v>239</v>
      </c>
      <c r="E71" s="155">
        <f t="shared" si="23"/>
        <v>5000</v>
      </c>
      <c r="F71" s="155">
        <f t="shared" si="24"/>
        <v>5000</v>
      </c>
      <c r="G71" s="155">
        <f t="shared" si="25"/>
        <v>5000</v>
      </c>
      <c r="H71" s="156"/>
      <c r="I71" s="157">
        <v>5000</v>
      </c>
      <c r="J71" s="157"/>
      <c r="K71" s="157"/>
      <c r="L71" s="157"/>
      <c r="M71" s="156"/>
      <c r="N71" s="156"/>
      <c r="O71" s="156">
        <f t="shared" si="26"/>
        <v>0</v>
      </c>
      <c r="P71" s="156"/>
      <c r="Q71" s="156"/>
      <c r="R71" s="156"/>
    </row>
    <row r="72" spans="1:18" ht="22.5" customHeight="1">
      <c r="A72" s="154"/>
      <c r="B72" s="154"/>
      <c r="C72" s="154">
        <v>4430</v>
      </c>
      <c r="D72" s="153" t="s">
        <v>214</v>
      </c>
      <c r="E72" s="155">
        <f t="shared" si="23"/>
        <v>8500</v>
      </c>
      <c r="F72" s="155">
        <f t="shared" si="24"/>
        <v>8500</v>
      </c>
      <c r="G72" s="155">
        <f t="shared" si="25"/>
        <v>8500</v>
      </c>
      <c r="H72" s="156"/>
      <c r="I72" s="157">
        <v>8500</v>
      </c>
      <c r="J72" s="157"/>
      <c r="K72" s="157"/>
      <c r="L72" s="157"/>
      <c r="M72" s="156"/>
      <c r="N72" s="156"/>
      <c r="O72" s="156">
        <f t="shared" si="26"/>
        <v>0</v>
      </c>
      <c r="P72" s="156"/>
      <c r="Q72" s="156"/>
      <c r="R72" s="156"/>
    </row>
    <row r="73" spans="1:18" ht="22.5" customHeight="1">
      <c r="A73" s="154"/>
      <c r="B73" s="154"/>
      <c r="C73" s="154">
        <v>4440</v>
      </c>
      <c r="D73" s="153" t="s">
        <v>240</v>
      </c>
      <c r="E73" s="155">
        <f t="shared" si="23"/>
        <v>77552</v>
      </c>
      <c r="F73" s="155">
        <f t="shared" si="24"/>
        <v>77552</v>
      </c>
      <c r="G73" s="155">
        <f t="shared" si="25"/>
        <v>77552</v>
      </c>
      <c r="H73" s="156"/>
      <c r="I73" s="157">
        <v>77552</v>
      </c>
      <c r="J73" s="157"/>
      <c r="K73" s="157"/>
      <c r="L73" s="157"/>
      <c r="M73" s="156"/>
      <c r="N73" s="156"/>
      <c r="O73" s="156">
        <f t="shared" si="26"/>
        <v>0</v>
      </c>
      <c r="P73" s="156"/>
      <c r="Q73" s="156"/>
      <c r="R73" s="156"/>
    </row>
    <row r="74" spans="1:18" ht="22.5" customHeight="1">
      <c r="A74" s="154"/>
      <c r="B74" s="154"/>
      <c r="C74" s="154">
        <v>4610</v>
      </c>
      <c r="D74" s="153" t="s">
        <v>241</v>
      </c>
      <c r="E74" s="155">
        <f t="shared" si="23"/>
        <v>3000</v>
      </c>
      <c r="F74" s="155">
        <f t="shared" si="24"/>
        <v>3000</v>
      </c>
      <c r="G74" s="155">
        <f t="shared" si="25"/>
        <v>3000</v>
      </c>
      <c r="H74" s="156"/>
      <c r="I74" s="157">
        <v>3000</v>
      </c>
      <c r="J74" s="157"/>
      <c r="K74" s="157"/>
      <c r="L74" s="157"/>
      <c r="M74" s="156"/>
      <c r="N74" s="156"/>
      <c r="O74" s="156">
        <f t="shared" si="26"/>
        <v>0</v>
      </c>
      <c r="P74" s="156"/>
      <c r="Q74" s="156"/>
      <c r="R74" s="156"/>
    </row>
    <row r="75" spans="1:18" ht="36.75" customHeight="1">
      <c r="A75" s="154"/>
      <c r="B75" s="154"/>
      <c r="C75" s="154">
        <v>4700</v>
      </c>
      <c r="D75" s="153" t="s">
        <v>242</v>
      </c>
      <c r="E75" s="155">
        <f t="shared" si="23"/>
        <v>15000</v>
      </c>
      <c r="F75" s="155">
        <f t="shared" si="24"/>
        <v>15000</v>
      </c>
      <c r="G75" s="155">
        <f t="shared" si="25"/>
        <v>15000</v>
      </c>
      <c r="H75" s="156"/>
      <c r="I75" s="157">
        <v>15000</v>
      </c>
      <c r="J75" s="157"/>
      <c r="K75" s="157"/>
      <c r="L75" s="157"/>
      <c r="M75" s="156"/>
      <c r="N75" s="156"/>
      <c r="O75" s="156">
        <f t="shared" si="26"/>
        <v>0</v>
      </c>
      <c r="P75" s="156"/>
      <c r="Q75" s="156"/>
      <c r="R75" s="156"/>
    </row>
    <row r="76" spans="1:18" ht="22.5" customHeight="1">
      <c r="A76" s="150"/>
      <c r="B76" s="150">
        <v>75075</v>
      </c>
      <c r="C76" s="150"/>
      <c r="D76" s="161" t="s">
        <v>243</v>
      </c>
      <c r="E76" s="152">
        <f aca="true" t="shared" si="27" ref="E76:R76">SUM(E77:E79)</f>
        <v>34800</v>
      </c>
      <c r="F76" s="152">
        <f t="shared" si="27"/>
        <v>34800</v>
      </c>
      <c r="G76" s="152">
        <f t="shared" si="27"/>
        <v>34800</v>
      </c>
      <c r="H76" s="152">
        <f t="shared" si="27"/>
        <v>2000</v>
      </c>
      <c r="I76" s="152">
        <f t="shared" si="27"/>
        <v>32800</v>
      </c>
      <c r="J76" s="152">
        <f t="shared" si="27"/>
        <v>0</v>
      </c>
      <c r="K76" s="152">
        <f t="shared" si="27"/>
        <v>0</v>
      </c>
      <c r="L76" s="152">
        <f t="shared" si="27"/>
        <v>0</v>
      </c>
      <c r="M76" s="152">
        <f t="shared" si="27"/>
        <v>0</v>
      </c>
      <c r="N76" s="152">
        <f t="shared" si="27"/>
        <v>0</v>
      </c>
      <c r="O76" s="152">
        <f t="shared" si="27"/>
        <v>0</v>
      </c>
      <c r="P76" s="152">
        <f t="shared" si="27"/>
        <v>0</v>
      </c>
      <c r="Q76" s="152">
        <f t="shared" si="27"/>
        <v>0</v>
      </c>
      <c r="R76" s="152">
        <f t="shared" si="27"/>
        <v>0</v>
      </c>
    </row>
    <row r="77" spans="1:18" ht="22.5" customHeight="1">
      <c r="A77" s="154"/>
      <c r="B77" s="154"/>
      <c r="C77" s="154">
        <v>4170</v>
      </c>
      <c r="D77" s="153" t="s">
        <v>229</v>
      </c>
      <c r="E77" s="155">
        <f>F77+O77</f>
        <v>2000</v>
      </c>
      <c r="F77" s="155">
        <f>G77+K77+L77+J77+N77+M77</f>
        <v>2000</v>
      </c>
      <c r="G77" s="155">
        <f>H77+I77</f>
        <v>2000</v>
      </c>
      <c r="H77" s="157">
        <v>2000</v>
      </c>
      <c r="I77" s="156">
        <f>SUM(J77:T77)</f>
        <v>0</v>
      </c>
      <c r="J77" s="157"/>
      <c r="K77" s="157"/>
      <c r="L77" s="157"/>
      <c r="M77" s="156"/>
      <c r="N77" s="156"/>
      <c r="O77" s="156">
        <f>P77+R77</f>
        <v>0</v>
      </c>
      <c r="P77" s="156"/>
      <c r="Q77" s="156"/>
      <c r="R77" s="156"/>
    </row>
    <row r="78" spans="1:18" ht="22.5" customHeight="1">
      <c r="A78" s="154"/>
      <c r="B78" s="154"/>
      <c r="C78" s="154">
        <v>4210</v>
      </c>
      <c r="D78" s="153" t="s">
        <v>209</v>
      </c>
      <c r="E78" s="155">
        <f>F78+O78</f>
        <v>15000</v>
      </c>
      <c r="F78" s="155">
        <f>G78+K78+L78+J78+N78+M78</f>
        <v>15000</v>
      </c>
      <c r="G78" s="155">
        <f>H78+I78</f>
        <v>15000</v>
      </c>
      <c r="H78" s="156"/>
      <c r="I78" s="157">
        <v>15000</v>
      </c>
      <c r="J78" s="156"/>
      <c r="K78" s="156"/>
      <c r="L78" s="156"/>
      <c r="M78" s="156"/>
      <c r="N78" s="156"/>
      <c r="O78" s="156">
        <f>P78+R78</f>
        <v>0</v>
      </c>
      <c r="P78" s="156"/>
      <c r="Q78" s="156"/>
      <c r="R78" s="156"/>
    </row>
    <row r="79" spans="1:18" ht="22.5" customHeight="1">
      <c r="A79" s="154"/>
      <c r="B79" s="154"/>
      <c r="C79" s="154">
        <v>4300</v>
      </c>
      <c r="D79" s="153" t="s">
        <v>205</v>
      </c>
      <c r="E79" s="155">
        <f>F79+O79</f>
        <v>17800</v>
      </c>
      <c r="F79" s="155">
        <f>G79+K79+L79+J79+N79+M79</f>
        <v>17800</v>
      </c>
      <c r="G79" s="155">
        <f>H79+I79</f>
        <v>17800</v>
      </c>
      <c r="H79" s="156"/>
      <c r="I79" s="157">
        <v>17800</v>
      </c>
      <c r="J79" s="156"/>
      <c r="K79" s="156"/>
      <c r="L79" s="156"/>
      <c r="M79" s="156"/>
      <c r="N79" s="156"/>
      <c r="O79" s="156">
        <f>P79+R79</f>
        <v>0</v>
      </c>
      <c r="P79" s="156"/>
      <c r="Q79" s="156"/>
      <c r="R79" s="156"/>
    </row>
    <row r="80" spans="1:18" ht="22.5" customHeight="1">
      <c r="A80" s="150"/>
      <c r="B80" s="150">
        <v>75095</v>
      </c>
      <c r="C80" s="150"/>
      <c r="D80" s="161" t="s">
        <v>30</v>
      </c>
      <c r="E80" s="152">
        <f aca="true" t="shared" si="28" ref="E80:R80">SUM(E81:E84)</f>
        <v>132992</v>
      </c>
      <c r="F80" s="152">
        <f t="shared" si="28"/>
        <v>132992</v>
      </c>
      <c r="G80" s="152">
        <f t="shared" si="28"/>
        <v>33200</v>
      </c>
      <c r="H80" s="152">
        <f t="shared" si="28"/>
        <v>0</v>
      </c>
      <c r="I80" s="152">
        <f t="shared" si="28"/>
        <v>33200</v>
      </c>
      <c r="J80" s="152">
        <f t="shared" si="28"/>
        <v>0</v>
      </c>
      <c r="K80" s="152">
        <f t="shared" si="28"/>
        <v>99792</v>
      </c>
      <c r="L80" s="152">
        <f t="shared" si="28"/>
        <v>0</v>
      </c>
      <c r="M80" s="152">
        <f t="shared" si="28"/>
        <v>0</v>
      </c>
      <c r="N80" s="152">
        <f t="shared" si="28"/>
        <v>0</v>
      </c>
      <c r="O80" s="152">
        <f t="shared" si="28"/>
        <v>0</v>
      </c>
      <c r="P80" s="152">
        <f t="shared" si="28"/>
        <v>0</v>
      </c>
      <c r="Q80" s="152">
        <f t="shared" si="28"/>
        <v>0</v>
      </c>
      <c r="R80" s="152">
        <f t="shared" si="28"/>
        <v>0</v>
      </c>
    </row>
    <row r="81" spans="1:18" ht="22.5" customHeight="1">
      <c r="A81" s="154"/>
      <c r="B81" s="154"/>
      <c r="C81" s="154">
        <v>3030</v>
      </c>
      <c r="D81" s="153" t="s">
        <v>244</v>
      </c>
      <c r="E81" s="155">
        <f>F81+O81</f>
        <v>99792</v>
      </c>
      <c r="F81" s="155">
        <f>G81+K81+L81+J81+N81+M81</f>
        <v>99792</v>
      </c>
      <c r="G81" s="155">
        <f>H81+I81</f>
        <v>0</v>
      </c>
      <c r="H81" s="156"/>
      <c r="I81" s="157">
        <f>Q81</f>
        <v>0</v>
      </c>
      <c r="J81" s="156"/>
      <c r="K81" s="157">
        <f>8316*12</f>
        <v>99792</v>
      </c>
      <c r="L81" s="156"/>
      <c r="M81" s="156"/>
      <c r="N81" s="159"/>
      <c r="O81" s="156">
        <f>P81+R81</f>
        <v>0</v>
      </c>
      <c r="P81" s="156"/>
      <c r="Q81" s="156"/>
      <c r="R81" s="156"/>
    </row>
    <row r="82" spans="1:18" ht="22.5" customHeight="1">
      <c r="A82" s="154"/>
      <c r="B82" s="154"/>
      <c r="C82" s="154">
        <v>4210</v>
      </c>
      <c r="D82" s="153" t="s">
        <v>209</v>
      </c>
      <c r="E82" s="155">
        <f>F82+O82</f>
        <v>4100</v>
      </c>
      <c r="F82" s="155">
        <f>G82+K82+L82+J82+N82+M82</f>
        <v>4100</v>
      </c>
      <c r="G82" s="155">
        <f>H82+I82</f>
        <v>4100</v>
      </c>
      <c r="H82" s="156"/>
      <c r="I82" s="157">
        <v>4100</v>
      </c>
      <c r="J82" s="156"/>
      <c r="K82" s="156"/>
      <c r="L82" s="156"/>
      <c r="M82" s="156"/>
      <c r="N82" s="156"/>
      <c r="O82" s="156">
        <f>P82+R82</f>
        <v>0</v>
      </c>
      <c r="P82" s="156"/>
      <c r="Q82" s="156"/>
      <c r="R82" s="156"/>
    </row>
    <row r="83" spans="1:18" ht="22.5" customHeight="1">
      <c r="A83" s="154"/>
      <c r="B83" s="154"/>
      <c r="C83" s="154">
        <v>4300</v>
      </c>
      <c r="D83" s="153" t="s">
        <v>205</v>
      </c>
      <c r="E83" s="155">
        <f>F83+O83</f>
        <v>4100</v>
      </c>
      <c r="F83" s="155">
        <f>G83+K83+L83+J83+N83+M83</f>
        <v>4100</v>
      </c>
      <c r="G83" s="155">
        <f>H83+I83</f>
        <v>4100</v>
      </c>
      <c r="H83" s="156"/>
      <c r="I83" s="157">
        <v>4100</v>
      </c>
      <c r="J83" s="156"/>
      <c r="K83" s="156"/>
      <c r="L83" s="156"/>
      <c r="M83" s="156"/>
      <c r="N83" s="156"/>
      <c r="O83" s="156">
        <f>P83+R83</f>
        <v>0</v>
      </c>
      <c r="P83" s="156"/>
      <c r="Q83" s="156"/>
      <c r="R83" s="156"/>
    </row>
    <row r="84" spans="1:18" ht="22.5" customHeight="1">
      <c r="A84" s="154"/>
      <c r="B84" s="154"/>
      <c r="C84" s="154">
        <v>4430</v>
      </c>
      <c r="D84" s="153" t="s">
        <v>214</v>
      </c>
      <c r="E84" s="155">
        <f>F84+O84</f>
        <v>25000</v>
      </c>
      <c r="F84" s="155">
        <f>G84+K84+L84+J84+N84+M84</f>
        <v>25000</v>
      </c>
      <c r="G84" s="155">
        <f>H84+I84</f>
        <v>25000</v>
      </c>
      <c r="H84" s="156"/>
      <c r="I84" s="157">
        <v>25000</v>
      </c>
      <c r="J84" s="156"/>
      <c r="K84" s="156"/>
      <c r="L84" s="156"/>
      <c r="M84" s="156"/>
      <c r="N84" s="156"/>
      <c r="O84" s="156">
        <f>P84+R84</f>
        <v>0</v>
      </c>
      <c r="P84" s="156"/>
      <c r="Q84" s="156"/>
      <c r="R84" s="156"/>
    </row>
    <row r="85" spans="1:18" ht="39" customHeight="1">
      <c r="A85" s="147" t="s">
        <v>245</v>
      </c>
      <c r="B85" s="147"/>
      <c r="C85" s="147"/>
      <c r="D85" s="147" t="s">
        <v>246</v>
      </c>
      <c r="E85" s="148">
        <f aca="true" t="shared" si="29" ref="E85:R85">E86+E97</f>
        <v>967000</v>
      </c>
      <c r="F85" s="148">
        <f t="shared" si="29"/>
        <v>267000</v>
      </c>
      <c r="G85" s="148">
        <f t="shared" si="29"/>
        <v>242000</v>
      </c>
      <c r="H85" s="148">
        <f t="shared" si="29"/>
        <v>41500</v>
      </c>
      <c r="I85" s="148">
        <f t="shared" si="29"/>
        <v>200500</v>
      </c>
      <c r="J85" s="148">
        <f t="shared" si="29"/>
        <v>0</v>
      </c>
      <c r="K85" s="148">
        <f t="shared" si="29"/>
        <v>25000</v>
      </c>
      <c r="L85" s="148">
        <f t="shared" si="29"/>
        <v>0</v>
      </c>
      <c r="M85" s="148">
        <f t="shared" si="29"/>
        <v>0</v>
      </c>
      <c r="N85" s="148">
        <f t="shared" si="29"/>
        <v>0</v>
      </c>
      <c r="O85" s="148">
        <f t="shared" si="29"/>
        <v>700000</v>
      </c>
      <c r="P85" s="148">
        <f t="shared" si="29"/>
        <v>700000</v>
      </c>
      <c r="Q85" s="148">
        <f t="shared" si="29"/>
        <v>0</v>
      </c>
      <c r="R85" s="148">
        <f t="shared" si="29"/>
        <v>0</v>
      </c>
    </row>
    <row r="86" spans="1:18" ht="22.5" customHeight="1">
      <c r="A86" s="150"/>
      <c r="B86" s="150">
        <v>75412</v>
      </c>
      <c r="C86" s="150"/>
      <c r="D86" s="161" t="s">
        <v>247</v>
      </c>
      <c r="E86" s="152">
        <f aca="true" t="shared" si="30" ref="E86:R86">SUM(E87:E96)</f>
        <v>887000</v>
      </c>
      <c r="F86" s="152">
        <f t="shared" si="30"/>
        <v>187000</v>
      </c>
      <c r="G86" s="152">
        <f t="shared" si="30"/>
        <v>162000</v>
      </c>
      <c r="H86" s="152">
        <f t="shared" si="30"/>
        <v>41500</v>
      </c>
      <c r="I86" s="152">
        <f t="shared" si="30"/>
        <v>120500</v>
      </c>
      <c r="J86" s="152">
        <f t="shared" si="30"/>
        <v>0</v>
      </c>
      <c r="K86" s="152">
        <f t="shared" si="30"/>
        <v>25000</v>
      </c>
      <c r="L86" s="152">
        <f t="shared" si="30"/>
        <v>0</v>
      </c>
      <c r="M86" s="152">
        <f t="shared" si="30"/>
        <v>0</v>
      </c>
      <c r="N86" s="152">
        <f t="shared" si="30"/>
        <v>0</v>
      </c>
      <c r="O86" s="152">
        <f t="shared" si="30"/>
        <v>700000</v>
      </c>
      <c r="P86" s="152">
        <f t="shared" si="30"/>
        <v>700000</v>
      </c>
      <c r="Q86" s="152">
        <f t="shared" si="30"/>
        <v>0</v>
      </c>
      <c r="R86" s="152">
        <f t="shared" si="30"/>
        <v>0</v>
      </c>
    </row>
    <row r="87" spans="1:18" ht="22.5" customHeight="1">
      <c r="A87" s="154"/>
      <c r="B87" s="154"/>
      <c r="C87" s="154">
        <v>3020</v>
      </c>
      <c r="D87" s="153" t="s">
        <v>248</v>
      </c>
      <c r="E87" s="155">
        <f aca="true" t="shared" si="31" ref="E87:E96">F87+O87</f>
        <v>25000</v>
      </c>
      <c r="F87" s="155">
        <f aca="true" t="shared" si="32" ref="F87:F96">G87+K87+L87+J87+N87+M87</f>
        <v>25000</v>
      </c>
      <c r="G87" s="155">
        <f aca="true" t="shared" si="33" ref="G87:G96">H87+I87</f>
        <v>0</v>
      </c>
      <c r="H87" s="156"/>
      <c r="I87" s="156">
        <f>Q87</f>
        <v>0</v>
      </c>
      <c r="J87" s="156"/>
      <c r="K87" s="156">
        <v>25000</v>
      </c>
      <c r="L87" s="156"/>
      <c r="M87" s="156"/>
      <c r="N87" s="156"/>
      <c r="O87" s="156">
        <f aca="true" t="shared" si="34" ref="O87:O96">P87+R87</f>
        <v>0</v>
      </c>
      <c r="P87" s="156"/>
      <c r="Q87" s="156"/>
      <c r="R87" s="156"/>
    </row>
    <row r="88" spans="1:18" ht="22.5" customHeight="1">
      <c r="A88" s="154"/>
      <c r="B88" s="154"/>
      <c r="C88" s="154">
        <v>4110</v>
      </c>
      <c r="D88" s="153" t="s">
        <v>226</v>
      </c>
      <c r="E88" s="155">
        <f t="shared" si="31"/>
        <v>700</v>
      </c>
      <c r="F88" s="155">
        <f t="shared" si="32"/>
        <v>700</v>
      </c>
      <c r="G88" s="155">
        <f t="shared" si="33"/>
        <v>700</v>
      </c>
      <c r="H88" s="157">
        <v>700</v>
      </c>
      <c r="I88" s="156">
        <f>K88</f>
        <v>0</v>
      </c>
      <c r="J88" s="157"/>
      <c r="K88" s="157"/>
      <c r="L88" s="157"/>
      <c r="M88" s="156"/>
      <c r="N88" s="156"/>
      <c r="O88" s="156">
        <f t="shared" si="34"/>
        <v>0</v>
      </c>
      <c r="P88" s="156"/>
      <c r="Q88" s="156"/>
      <c r="R88" s="156"/>
    </row>
    <row r="89" spans="1:18" ht="22.5" customHeight="1">
      <c r="A89" s="154"/>
      <c r="B89" s="154"/>
      <c r="C89" s="154">
        <v>4170</v>
      </c>
      <c r="D89" s="153" t="s">
        <v>229</v>
      </c>
      <c r="E89" s="155">
        <f t="shared" si="31"/>
        <v>40800</v>
      </c>
      <c r="F89" s="155">
        <f t="shared" si="32"/>
        <v>40800</v>
      </c>
      <c r="G89" s="155">
        <f t="shared" si="33"/>
        <v>40800</v>
      </c>
      <c r="H89" s="157">
        <v>40800</v>
      </c>
      <c r="I89" s="157"/>
      <c r="J89" s="156"/>
      <c r="K89" s="156"/>
      <c r="L89" s="156"/>
      <c r="M89" s="156"/>
      <c r="N89" s="156"/>
      <c r="O89" s="156">
        <f t="shared" si="34"/>
        <v>0</v>
      </c>
      <c r="P89" s="156"/>
      <c r="Q89" s="156"/>
      <c r="R89" s="156"/>
    </row>
    <row r="90" spans="1:18" ht="22.5" customHeight="1">
      <c r="A90" s="154"/>
      <c r="B90" s="154"/>
      <c r="C90" s="154">
        <v>4210</v>
      </c>
      <c r="D90" s="153" t="s">
        <v>209</v>
      </c>
      <c r="E90" s="155">
        <f t="shared" si="31"/>
        <v>32600</v>
      </c>
      <c r="F90" s="155">
        <f t="shared" si="32"/>
        <v>32600</v>
      </c>
      <c r="G90" s="155">
        <f t="shared" si="33"/>
        <v>32600</v>
      </c>
      <c r="H90" s="156"/>
      <c r="I90" s="157">
        <v>32600</v>
      </c>
      <c r="J90" s="156"/>
      <c r="K90" s="156"/>
      <c r="L90" s="156"/>
      <c r="M90" s="156"/>
      <c r="N90" s="156"/>
      <c r="O90" s="156">
        <f t="shared" si="34"/>
        <v>0</v>
      </c>
      <c r="P90" s="156"/>
      <c r="Q90" s="156"/>
      <c r="R90" s="156"/>
    </row>
    <row r="91" spans="1:18" ht="22.5" customHeight="1">
      <c r="A91" s="154"/>
      <c r="B91" s="154"/>
      <c r="C91" s="154">
        <v>4260</v>
      </c>
      <c r="D91" s="153" t="s">
        <v>230</v>
      </c>
      <c r="E91" s="155">
        <f t="shared" si="31"/>
        <v>10200</v>
      </c>
      <c r="F91" s="155">
        <f t="shared" si="32"/>
        <v>10200</v>
      </c>
      <c r="G91" s="155">
        <f t="shared" si="33"/>
        <v>10200</v>
      </c>
      <c r="H91" s="156"/>
      <c r="I91" s="157">
        <v>10200</v>
      </c>
      <c r="J91" s="156"/>
      <c r="K91" s="156"/>
      <c r="L91" s="156"/>
      <c r="M91" s="156"/>
      <c r="N91" s="156"/>
      <c r="O91" s="156">
        <f t="shared" si="34"/>
        <v>0</v>
      </c>
      <c r="P91" s="156"/>
      <c r="Q91" s="156"/>
      <c r="R91" s="156"/>
    </row>
    <row r="92" spans="1:18" ht="22.5" customHeight="1">
      <c r="A92" s="154"/>
      <c r="B92" s="154"/>
      <c r="C92" s="154">
        <v>4270</v>
      </c>
      <c r="D92" s="153" t="s">
        <v>231</v>
      </c>
      <c r="E92" s="155">
        <f t="shared" si="31"/>
        <v>15000</v>
      </c>
      <c r="F92" s="155">
        <f t="shared" si="32"/>
        <v>15000</v>
      </c>
      <c r="G92" s="155">
        <f t="shared" si="33"/>
        <v>15000</v>
      </c>
      <c r="H92" s="156"/>
      <c r="I92" s="157">
        <v>15000</v>
      </c>
      <c r="J92" s="156"/>
      <c r="K92" s="156"/>
      <c r="L92" s="156"/>
      <c r="M92" s="156"/>
      <c r="N92" s="156"/>
      <c r="O92" s="156">
        <f t="shared" si="34"/>
        <v>0</v>
      </c>
      <c r="P92" s="156"/>
      <c r="Q92" s="156"/>
      <c r="R92" s="156"/>
    </row>
    <row r="93" spans="1:18" ht="22.5" customHeight="1">
      <c r="A93" s="154"/>
      <c r="B93" s="154"/>
      <c r="C93" s="154">
        <v>4280</v>
      </c>
      <c r="D93" s="153" t="s">
        <v>232</v>
      </c>
      <c r="E93" s="155">
        <f t="shared" si="31"/>
        <v>3500</v>
      </c>
      <c r="F93" s="155">
        <f t="shared" si="32"/>
        <v>3500</v>
      </c>
      <c r="G93" s="155">
        <f t="shared" si="33"/>
        <v>3500</v>
      </c>
      <c r="H93" s="156"/>
      <c r="I93" s="157">
        <v>3500</v>
      </c>
      <c r="J93" s="156"/>
      <c r="K93" s="156"/>
      <c r="L93" s="156"/>
      <c r="M93" s="156"/>
      <c r="N93" s="156"/>
      <c r="O93" s="156">
        <f t="shared" si="34"/>
        <v>0</v>
      </c>
      <c r="P93" s="156"/>
      <c r="Q93" s="156"/>
      <c r="R93" s="156"/>
    </row>
    <row r="94" spans="1:18" ht="22.5" customHeight="1">
      <c r="A94" s="154"/>
      <c r="B94" s="154"/>
      <c r="C94" s="154">
        <v>4300</v>
      </c>
      <c r="D94" s="153" t="s">
        <v>233</v>
      </c>
      <c r="E94" s="155">
        <f t="shared" si="31"/>
        <v>44700</v>
      </c>
      <c r="F94" s="155">
        <f t="shared" si="32"/>
        <v>44700</v>
      </c>
      <c r="G94" s="155">
        <f t="shared" si="33"/>
        <v>44700</v>
      </c>
      <c r="H94" s="156"/>
      <c r="I94" s="157">
        <f>50500-14000+8200</f>
        <v>44700</v>
      </c>
      <c r="J94" s="156"/>
      <c r="K94" s="156"/>
      <c r="L94" s="156"/>
      <c r="M94" s="156"/>
      <c r="N94" s="156"/>
      <c r="O94" s="156">
        <f t="shared" si="34"/>
        <v>0</v>
      </c>
      <c r="P94" s="156"/>
      <c r="Q94" s="156"/>
      <c r="R94" s="156"/>
    </row>
    <row r="95" spans="1:18" ht="22.5" customHeight="1">
      <c r="A95" s="154"/>
      <c r="B95" s="154"/>
      <c r="C95" s="154">
        <v>4430</v>
      </c>
      <c r="D95" s="153" t="s">
        <v>214</v>
      </c>
      <c r="E95" s="155">
        <f t="shared" si="31"/>
        <v>14500</v>
      </c>
      <c r="F95" s="155">
        <f t="shared" si="32"/>
        <v>14500</v>
      </c>
      <c r="G95" s="155">
        <f t="shared" si="33"/>
        <v>14500</v>
      </c>
      <c r="H95" s="156"/>
      <c r="I95" s="157">
        <f>500+14000</f>
        <v>14500</v>
      </c>
      <c r="J95" s="156"/>
      <c r="K95" s="156"/>
      <c r="L95" s="156"/>
      <c r="M95" s="156"/>
      <c r="N95" s="156"/>
      <c r="O95" s="156">
        <f t="shared" si="34"/>
        <v>0</v>
      </c>
      <c r="P95" s="156"/>
      <c r="Q95" s="156"/>
      <c r="R95" s="156"/>
    </row>
    <row r="96" spans="1:18" ht="22.5" customHeight="1">
      <c r="A96" s="154"/>
      <c r="B96" s="154"/>
      <c r="C96" s="154">
        <v>6050</v>
      </c>
      <c r="D96" s="153" t="s">
        <v>206</v>
      </c>
      <c r="E96" s="155">
        <f t="shared" si="31"/>
        <v>700000</v>
      </c>
      <c r="F96" s="155">
        <f t="shared" si="32"/>
        <v>0</v>
      </c>
      <c r="G96" s="155">
        <f t="shared" si="33"/>
        <v>0</v>
      </c>
      <c r="H96" s="156"/>
      <c r="I96" s="156"/>
      <c r="J96" s="156"/>
      <c r="K96" s="156"/>
      <c r="L96" s="156"/>
      <c r="M96" s="156"/>
      <c r="N96" s="156"/>
      <c r="O96" s="156">
        <f t="shared" si="34"/>
        <v>700000</v>
      </c>
      <c r="P96" s="157">
        <f>'zał 11'!E30</f>
        <v>700000</v>
      </c>
      <c r="Q96" s="158"/>
      <c r="R96" s="158"/>
    </row>
    <row r="97" spans="1:18" ht="22.5" customHeight="1">
      <c r="A97" s="150"/>
      <c r="B97" s="150">
        <v>75421</v>
      </c>
      <c r="C97" s="150"/>
      <c r="D97" s="161" t="s">
        <v>249</v>
      </c>
      <c r="E97" s="152">
        <f aca="true" t="shared" si="35" ref="E97:R97">E98</f>
        <v>80000</v>
      </c>
      <c r="F97" s="152">
        <f t="shared" si="35"/>
        <v>80000</v>
      </c>
      <c r="G97" s="152">
        <f t="shared" si="35"/>
        <v>80000</v>
      </c>
      <c r="H97" s="152">
        <f t="shared" si="35"/>
        <v>0</v>
      </c>
      <c r="I97" s="152">
        <f t="shared" si="35"/>
        <v>80000</v>
      </c>
      <c r="J97" s="152">
        <f t="shared" si="35"/>
        <v>0</v>
      </c>
      <c r="K97" s="152">
        <f t="shared" si="35"/>
        <v>0</v>
      </c>
      <c r="L97" s="152">
        <f t="shared" si="35"/>
        <v>0</v>
      </c>
      <c r="M97" s="152">
        <f t="shared" si="35"/>
        <v>0</v>
      </c>
      <c r="N97" s="152">
        <f t="shared" si="35"/>
        <v>0</v>
      </c>
      <c r="O97" s="152">
        <f t="shared" si="35"/>
        <v>0</v>
      </c>
      <c r="P97" s="152">
        <f t="shared" si="35"/>
        <v>0</v>
      </c>
      <c r="Q97" s="152">
        <f t="shared" si="35"/>
        <v>0</v>
      </c>
      <c r="R97" s="152">
        <f t="shared" si="35"/>
        <v>0</v>
      </c>
    </row>
    <row r="98" spans="1:18" ht="22.5" customHeight="1">
      <c r="A98" s="150"/>
      <c r="B98" s="154"/>
      <c r="C98" s="154">
        <v>4810</v>
      </c>
      <c r="D98" s="153" t="s">
        <v>250</v>
      </c>
      <c r="E98" s="155">
        <f>F98+O98</f>
        <v>80000</v>
      </c>
      <c r="F98" s="155">
        <f>G98+K98+L98+J98+N98+M98</f>
        <v>80000</v>
      </c>
      <c r="G98" s="155">
        <f>H98+I98</f>
        <v>80000</v>
      </c>
      <c r="H98" s="156"/>
      <c r="I98" s="156">
        <v>80000</v>
      </c>
      <c r="J98" s="156"/>
      <c r="K98" s="156"/>
      <c r="L98" s="156"/>
      <c r="M98" s="156"/>
      <c r="N98" s="156"/>
      <c r="O98" s="156">
        <f>P98+R98</f>
        <v>0</v>
      </c>
      <c r="P98" s="156"/>
      <c r="Q98" s="156"/>
      <c r="R98" s="156"/>
    </row>
    <row r="99" spans="1:18" ht="74.25" customHeight="1">
      <c r="A99" s="147">
        <v>756</v>
      </c>
      <c r="B99" s="147"/>
      <c r="C99" s="147"/>
      <c r="D99" s="147" t="s">
        <v>251</v>
      </c>
      <c r="E99" s="148">
        <f aca="true" t="shared" si="36" ref="E99:R99">E100</f>
        <v>46000</v>
      </c>
      <c r="F99" s="148">
        <f t="shared" si="36"/>
        <v>46000</v>
      </c>
      <c r="G99" s="148">
        <f t="shared" si="36"/>
        <v>46000</v>
      </c>
      <c r="H99" s="148">
        <f t="shared" si="36"/>
        <v>0</v>
      </c>
      <c r="I99" s="148">
        <f t="shared" si="36"/>
        <v>46000</v>
      </c>
      <c r="J99" s="148">
        <f t="shared" si="36"/>
        <v>0</v>
      </c>
      <c r="K99" s="148">
        <f t="shared" si="36"/>
        <v>0</v>
      </c>
      <c r="L99" s="148">
        <f t="shared" si="36"/>
        <v>0</v>
      </c>
      <c r="M99" s="148">
        <f t="shared" si="36"/>
        <v>0</v>
      </c>
      <c r="N99" s="148">
        <f t="shared" si="36"/>
        <v>0</v>
      </c>
      <c r="O99" s="148">
        <f t="shared" si="36"/>
        <v>0</v>
      </c>
      <c r="P99" s="148">
        <f t="shared" si="36"/>
        <v>0</v>
      </c>
      <c r="Q99" s="148">
        <f t="shared" si="36"/>
        <v>0</v>
      </c>
      <c r="R99" s="148">
        <f t="shared" si="36"/>
        <v>0</v>
      </c>
    </row>
    <row r="100" spans="1:18" ht="39" customHeight="1">
      <c r="A100" s="150"/>
      <c r="B100" s="150">
        <v>75647</v>
      </c>
      <c r="C100" s="150"/>
      <c r="D100" s="170" t="s">
        <v>252</v>
      </c>
      <c r="E100" s="152">
        <f aca="true" t="shared" si="37" ref="E100:R100">SUM(E101:E102)</f>
        <v>46000</v>
      </c>
      <c r="F100" s="152">
        <f t="shared" si="37"/>
        <v>46000</v>
      </c>
      <c r="G100" s="152">
        <f t="shared" si="37"/>
        <v>46000</v>
      </c>
      <c r="H100" s="152">
        <f t="shared" si="37"/>
        <v>0</v>
      </c>
      <c r="I100" s="152">
        <f t="shared" si="37"/>
        <v>46000</v>
      </c>
      <c r="J100" s="152">
        <f t="shared" si="37"/>
        <v>0</v>
      </c>
      <c r="K100" s="152">
        <f t="shared" si="37"/>
        <v>0</v>
      </c>
      <c r="L100" s="152">
        <f t="shared" si="37"/>
        <v>0</v>
      </c>
      <c r="M100" s="152">
        <f t="shared" si="37"/>
        <v>0</v>
      </c>
      <c r="N100" s="152">
        <f t="shared" si="37"/>
        <v>0</v>
      </c>
      <c r="O100" s="152">
        <f t="shared" si="37"/>
        <v>0</v>
      </c>
      <c r="P100" s="152">
        <f t="shared" si="37"/>
        <v>0</v>
      </c>
      <c r="Q100" s="152">
        <f t="shared" si="37"/>
        <v>0</v>
      </c>
      <c r="R100" s="152">
        <f t="shared" si="37"/>
        <v>0</v>
      </c>
    </row>
    <row r="101" spans="1:18" ht="22.5" customHeight="1">
      <c r="A101" s="150"/>
      <c r="B101" s="154"/>
      <c r="C101" s="154">
        <v>4100</v>
      </c>
      <c r="D101" s="171" t="s">
        <v>253</v>
      </c>
      <c r="E101" s="155">
        <f>F101+O101</f>
        <v>41000</v>
      </c>
      <c r="F101" s="155">
        <f>G101+K101+L101+J101+N101+M101</f>
        <v>41000</v>
      </c>
      <c r="G101" s="155">
        <f>H101+I101</f>
        <v>41000</v>
      </c>
      <c r="H101" s="156"/>
      <c r="I101" s="157">
        <v>41000</v>
      </c>
      <c r="J101" s="156"/>
      <c r="K101" s="156"/>
      <c r="L101" s="156"/>
      <c r="M101" s="156"/>
      <c r="N101" s="156"/>
      <c r="O101" s="156">
        <f>P101+R101</f>
        <v>0</v>
      </c>
      <c r="P101" s="156"/>
      <c r="Q101" s="156"/>
      <c r="R101" s="156"/>
    </row>
    <row r="102" spans="1:18" ht="22.5" customHeight="1">
      <c r="A102" s="150"/>
      <c r="B102" s="154"/>
      <c r="C102" s="154">
        <v>4300</v>
      </c>
      <c r="D102" s="171" t="s">
        <v>205</v>
      </c>
      <c r="E102" s="155">
        <f>F102+O102</f>
        <v>5000</v>
      </c>
      <c r="F102" s="155">
        <f>G102+K102+L102+J102+N102+M102</f>
        <v>5000</v>
      </c>
      <c r="G102" s="155">
        <f>H102+I102</f>
        <v>5000</v>
      </c>
      <c r="H102" s="156"/>
      <c r="I102" s="157">
        <v>5000</v>
      </c>
      <c r="J102" s="156"/>
      <c r="K102" s="156"/>
      <c r="L102" s="156"/>
      <c r="M102" s="156"/>
      <c r="N102" s="156"/>
      <c r="O102" s="156">
        <f>P102+R102</f>
        <v>0</v>
      </c>
      <c r="P102" s="156"/>
      <c r="Q102" s="156"/>
      <c r="R102" s="156"/>
    </row>
    <row r="103" spans="1:18" ht="22.5" customHeight="1">
      <c r="A103" s="147">
        <v>757</v>
      </c>
      <c r="B103" s="147"/>
      <c r="C103" s="147"/>
      <c r="D103" s="147" t="s">
        <v>254</v>
      </c>
      <c r="E103" s="148">
        <f aca="true" t="shared" si="38" ref="E103:R103">E104</f>
        <v>1498024</v>
      </c>
      <c r="F103" s="148">
        <f t="shared" si="38"/>
        <v>1498024</v>
      </c>
      <c r="G103" s="148">
        <f t="shared" si="38"/>
        <v>0</v>
      </c>
      <c r="H103" s="148">
        <f t="shared" si="38"/>
        <v>0</v>
      </c>
      <c r="I103" s="148">
        <f t="shared" si="38"/>
        <v>0</v>
      </c>
      <c r="J103" s="148">
        <f t="shared" si="38"/>
        <v>0</v>
      </c>
      <c r="K103" s="148">
        <f t="shared" si="38"/>
        <v>0</v>
      </c>
      <c r="L103" s="148">
        <f t="shared" si="38"/>
        <v>0</v>
      </c>
      <c r="M103" s="148">
        <f t="shared" si="38"/>
        <v>0</v>
      </c>
      <c r="N103" s="148">
        <f t="shared" si="38"/>
        <v>1498024</v>
      </c>
      <c r="O103" s="148">
        <f t="shared" si="38"/>
        <v>0</v>
      </c>
      <c r="P103" s="148">
        <f t="shared" si="38"/>
        <v>0</v>
      </c>
      <c r="Q103" s="148">
        <f t="shared" si="38"/>
        <v>0</v>
      </c>
      <c r="R103" s="148">
        <f t="shared" si="38"/>
        <v>0</v>
      </c>
    </row>
    <row r="104" spans="1:18" ht="39" customHeight="1">
      <c r="A104" s="150"/>
      <c r="B104" s="150">
        <v>75702</v>
      </c>
      <c r="C104" s="150"/>
      <c r="D104" s="161" t="s">
        <v>255</v>
      </c>
      <c r="E104" s="152">
        <f aca="true" t="shared" si="39" ref="E104:R104">SUM(E105:E106)</f>
        <v>1498024</v>
      </c>
      <c r="F104" s="152">
        <f t="shared" si="39"/>
        <v>1498024</v>
      </c>
      <c r="G104" s="152">
        <f t="shared" si="39"/>
        <v>0</v>
      </c>
      <c r="H104" s="152">
        <f t="shared" si="39"/>
        <v>0</v>
      </c>
      <c r="I104" s="152">
        <f t="shared" si="39"/>
        <v>0</v>
      </c>
      <c r="J104" s="152">
        <f t="shared" si="39"/>
        <v>0</v>
      </c>
      <c r="K104" s="152">
        <f t="shared" si="39"/>
        <v>0</v>
      </c>
      <c r="L104" s="152">
        <f t="shared" si="39"/>
        <v>0</v>
      </c>
      <c r="M104" s="152">
        <f t="shared" si="39"/>
        <v>0</v>
      </c>
      <c r="N104" s="152">
        <f t="shared" si="39"/>
        <v>1498024</v>
      </c>
      <c r="O104" s="152">
        <f t="shared" si="39"/>
        <v>0</v>
      </c>
      <c r="P104" s="152">
        <f t="shared" si="39"/>
        <v>0</v>
      </c>
      <c r="Q104" s="152">
        <f t="shared" si="39"/>
        <v>0</v>
      </c>
      <c r="R104" s="152">
        <f t="shared" si="39"/>
        <v>0</v>
      </c>
    </row>
    <row r="105" spans="1:18" ht="36.75" customHeight="1">
      <c r="A105" s="150"/>
      <c r="B105" s="154"/>
      <c r="C105" s="154">
        <v>8010</v>
      </c>
      <c r="D105" s="153" t="s">
        <v>256</v>
      </c>
      <c r="E105" s="155">
        <f>F105+O105</f>
        <v>50000</v>
      </c>
      <c r="F105" s="155">
        <f>G105+K105+L105+J105+N105+M105</f>
        <v>50000</v>
      </c>
      <c r="G105" s="155">
        <f>H105+I105</f>
        <v>0</v>
      </c>
      <c r="H105" s="156"/>
      <c r="I105" s="156"/>
      <c r="J105" s="156"/>
      <c r="K105" s="156"/>
      <c r="L105" s="156"/>
      <c r="M105" s="156"/>
      <c r="N105" s="157">
        <v>50000</v>
      </c>
      <c r="O105" s="156">
        <f>P105+R105</f>
        <v>0</v>
      </c>
      <c r="P105" s="157"/>
      <c r="Q105" s="158"/>
      <c r="R105" s="156"/>
    </row>
    <row r="106" spans="1:18" ht="36.75" customHeight="1">
      <c r="A106" s="150"/>
      <c r="B106" s="154"/>
      <c r="C106" s="154">
        <v>8110</v>
      </c>
      <c r="D106" s="153" t="s">
        <v>257</v>
      </c>
      <c r="E106" s="155">
        <f>F106+O106</f>
        <v>1448024</v>
      </c>
      <c r="F106" s="155">
        <f>G106+K106+L106+J106+N106+M106</f>
        <v>1448024</v>
      </c>
      <c r="G106" s="155">
        <f>H106+I106</f>
        <v>0</v>
      </c>
      <c r="H106" s="156"/>
      <c r="I106" s="156"/>
      <c r="J106" s="156"/>
      <c r="K106" s="156"/>
      <c r="L106" s="156"/>
      <c r="M106" s="156"/>
      <c r="N106" s="157">
        <f>416824+1031200</f>
        <v>1448024</v>
      </c>
      <c r="O106" s="156">
        <f>P106+R106</f>
        <v>0</v>
      </c>
      <c r="P106" s="157"/>
      <c r="Q106" s="156"/>
      <c r="R106" s="156"/>
    </row>
    <row r="107" spans="1:18" ht="22.5" customHeight="1">
      <c r="A107" s="147">
        <v>758</v>
      </c>
      <c r="B107" s="147"/>
      <c r="C107" s="147"/>
      <c r="D107" s="147" t="s">
        <v>110</v>
      </c>
      <c r="E107" s="148">
        <f aca="true" t="shared" si="40" ref="E107:R107">E108+E110</f>
        <v>380000</v>
      </c>
      <c r="F107" s="148">
        <f t="shared" si="40"/>
        <v>380000</v>
      </c>
      <c r="G107" s="148">
        <f t="shared" si="40"/>
        <v>380000</v>
      </c>
      <c r="H107" s="148">
        <f t="shared" si="40"/>
        <v>0</v>
      </c>
      <c r="I107" s="148">
        <f t="shared" si="40"/>
        <v>380000</v>
      </c>
      <c r="J107" s="148">
        <f t="shared" si="40"/>
        <v>0</v>
      </c>
      <c r="K107" s="148">
        <f t="shared" si="40"/>
        <v>0</v>
      </c>
      <c r="L107" s="148">
        <f t="shared" si="40"/>
        <v>0</v>
      </c>
      <c r="M107" s="148">
        <f t="shared" si="40"/>
        <v>0</v>
      </c>
      <c r="N107" s="148">
        <f t="shared" si="40"/>
        <v>0</v>
      </c>
      <c r="O107" s="148">
        <f t="shared" si="40"/>
        <v>0</v>
      </c>
      <c r="P107" s="148">
        <f t="shared" si="40"/>
        <v>0</v>
      </c>
      <c r="Q107" s="148">
        <f t="shared" si="40"/>
        <v>0</v>
      </c>
      <c r="R107" s="148">
        <f t="shared" si="40"/>
        <v>0</v>
      </c>
    </row>
    <row r="108" spans="1:18" ht="22.5" customHeight="1">
      <c r="A108" s="150"/>
      <c r="B108" s="150">
        <v>75814</v>
      </c>
      <c r="C108" s="150"/>
      <c r="D108" s="161" t="s">
        <v>258</v>
      </c>
      <c r="E108" s="152">
        <f aca="true" t="shared" si="41" ref="E108:R108">E109</f>
        <v>320000</v>
      </c>
      <c r="F108" s="152">
        <f t="shared" si="41"/>
        <v>320000</v>
      </c>
      <c r="G108" s="152">
        <f t="shared" si="41"/>
        <v>320000</v>
      </c>
      <c r="H108" s="152">
        <f t="shared" si="41"/>
        <v>0</v>
      </c>
      <c r="I108" s="152">
        <f t="shared" si="41"/>
        <v>320000</v>
      </c>
      <c r="J108" s="152">
        <f t="shared" si="41"/>
        <v>0</v>
      </c>
      <c r="K108" s="152">
        <f t="shared" si="41"/>
        <v>0</v>
      </c>
      <c r="L108" s="152">
        <f t="shared" si="41"/>
        <v>0</v>
      </c>
      <c r="M108" s="152">
        <f t="shared" si="41"/>
        <v>0</v>
      </c>
      <c r="N108" s="152">
        <f t="shared" si="41"/>
        <v>0</v>
      </c>
      <c r="O108" s="152">
        <f t="shared" si="41"/>
        <v>0</v>
      </c>
      <c r="P108" s="152">
        <f t="shared" si="41"/>
        <v>0</v>
      </c>
      <c r="Q108" s="152">
        <f t="shared" si="41"/>
        <v>0</v>
      </c>
      <c r="R108" s="152">
        <f t="shared" si="41"/>
        <v>0</v>
      </c>
    </row>
    <row r="109" spans="1:18" ht="36.75" customHeight="1">
      <c r="A109" s="150"/>
      <c r="B109" s="154"/>
      <c r="C109" s="154" t="s">
        <v>259</v>
      </c>
      <c r="D109" s="153" t="s">
        <v>260</v>
      </c>
      <c r="E109" s="155">
        <f>F109+O109</f>
        <v>320000</v>
      </c>
      <c r="F109" s="155">
        <f>G109+K109+L109+J109+N109+M109</f>
        <v>320000</v>
      </c>
      <c r="G109" s="155">
        <f>H109+I109</f>
        <v>320000</v>
      </c>
      <c r="H109" s="156"/>
      <c r="I109" s="157">
        <v>320000</v>
      </c>
      <c r="J109" s="156"/>
      <c r="K109" s="156"/>
      <c r="L109" s="156"/>
      <c r="M109" s="156"/>
      <c r="N109" s="156"/>
      <c r="O109" s="156"/>
      <c r="P109" s="156"/>
      <c r="Q109" s="156"/>
      <c r="R109" s="156"/>
    </row>
    <row r="110" spans="1:18" ht="22.5" customHeight="1">
      <c r="A110" s="150"/>
      <c r="B110" s="150">
        <v>75818</v>
      </c>
      <c r="C110" s="150"/>
      <c r="D110" s="161" t="s">
        <v>261</v>
      </c>
      <c r="E110" s="152">
        <f aca="true" t="shared" si="42" ref="E110:R110">E111</f>
        <v>60000</v>
      </c>
      <c r="F110" s="152">
        <f t="shared" si="42"/>
        <v>60000</v>
      </c>
      <c r="G110" s="152">
        <f t="shared" si="42"/>
        <v>60000</v>
      </c>
      <c r="H110" s="152">
        <f t="shared" si="42"/>
        <v>0</v>
      </c>
      <c r="I110" s="152">
        <f t="shared" si="42"/>
        <v>60000</v>
      </c>
      <c r="J110" s="152">
        <f t="shared" si="42"/>
        <v>0</v>
      </c>
      <c r="K110" s="152">
        <f t="shared" si="42"/>
        <v>0</v>
      </c>
      <c r="L110" s="152">
        <f t="shared" si="42"/>
        <v>0</v>
      </c>
      <c r="M110" s="152">
        <f t="shared" si="42"/>
        <v>0</v>
      </c>
      <c r="N110" s="152">
        <f t="shared" si="42"/>
        <v>0</v>
      </c>
      <c r="O110" s="152">
        <f t="shared" si="42"/>
        <v>0</v>
      </c>
      <c r="P110" s="152">
        <f t="shared" si="42"/>
        <v>0</v>
      </c>
      <c r="Q110" s="152">
        <f t="shared" si="42"/>
        <v>0</v>
      </c>
      <c r="R110" s="152">
        <f t="shared" si="42"/>
        <v>0</v>
      </c>
    </row>
    <row r="111" spans="1:18" ht="22.5" customHeight="1">
      <c r="A111" s="150"/>
      <c r="B111" s="154"/>
      <c r="C111" s="154">
        <v>4810</v>
      </c>
      <c r="D111" s="153" t="s">
        <v>262</v>
      </c>
      <c r="E111" s="155">
        <f>F111+O111</f>
        <v>60000</v>
      </c>
      <c r="F111" s="155">
        <f>G111+K111+L111+J111+N111+M111</f>
        <v>60000</v>
      </c>
      <c r="G111" s="155">
        <f>H111+I111</f>
        <v>60000</v>
      </c>
      <c r="H111" s="156"/>
      <c r="I111" s="156">
        <v>60000</v>
      </c>
      <c r="J111" s="156"/>
      <c r="K111" s="156"/>
      <c r="L111" s="156"/>
      <c r="M111" s="156"/>
      <c r="N111" s="156"/>
      <c r="O111" s="156"/>
      <c r="P111" s="156"/>
      <c r="Q111" s="156"/>
      <c r="R111" s="156"/>
    </row>
    <row r="112" spans="1:18" s="173" customFormat="1" ht="22.5" customHeight="1">
      <c r="A112" s="172">
        <v>801</v>
      </c>
      <c r="B112" s="172"/>
      <c r="C112" s="172"/>
      <c r="D112" s="172" t="s">
        <v>115</v>
      </c>
      <c r="E112" s="148">
        <f aca="true" t="shared" si="43" ref="E112:R112">E113+E135+E145+E164+E184+E199+E205+E219</f>
        <v>21924976.46</v>
      </c>
      <c r="F112" s="148">
        <f t="shared" si="43"/>
        <v>21124976.46</v>
      </c>
      <c r="G112" s="148">
        <f t="shared" si="43"/>
        <v>19370820.46</v>
      </c>
      <c r="H112" s="148">
        <f t="shared" si="43"/>
        <v>14457269.2</v>
      </c>
      <c r="I112" s="148">
        <f t="shared" si="43"/>
        <v>4913551.26</v>
      </c>
      <c r="J112" s="148">
        <f t="shared" si="43"/>
        <v>1660776</v>
      </c>
      <c r="K112" s="148">
        <f t="shared" si="43"/>
        <v>93380</v>
      </c>
      <c r="L112" s="148">
        <f t="shared" si="43"/>
        <v>668554.46</v>
      </c>
      <c r="M112" s="148">
        <f t="shared" si="43"/>
        <v>0</v>
      </c>
      <c r="N112" s="148">
        <f t="shared" si="43"/>
        <v>0</v>
      </c>
      <c r="O112" s="148">
        <f t="shared" si="43"/>
        <v>800000</v>
      </c>
      <c r="P112" s="148">
        <f t="shared" si="43"/>
        <v>800000</v>
      </c>
      <c r="Q112" s="148">
        <f t="shared" si="43"/>
        <v>800000</v>
      </c>
      <c r="R112" s="148">
        <f t="shared" si="43"/>
        <v>0</v>
      </c>
    </row>
    <row r="113" spans="1:19" ht="22.5" customHeight="1">
      <c r="A113" s="150"/>
      <c r="B113" s="150">
        <v>80101</v>
      </c>
      <c r="C113" s="150"/>
      <c r="D113" s="161" t="s">
        <v>116</v>
      </c>
      <c r="E113" s="152">
        <f aca="true" t="shared" si="44" ref="E113:R113">SUM(E114:E134)</f>
        <v>7971731</v>
      </c>
      <c r="F113" s="152">
        <f t="shared" si="44"/>
        <v>7171731</v>
      </c>
      <c r="G113" s="152">
        <f t="shared" si="44"/>
        <v>7116391</v>
      </c>
      <c r="H113" s="152">
        <f t="shared" si="44"/>
        <v>6138595</v>
      </c>
      <c r="I113" s="152">
        <f t="shared" si="44"/>
        <v>977796</v>
      </c>
      <c r="J113" s="152">
        <f t="shared" si="44"/>
        <v>0</v>
      </c>
      <c r="K113" s="152">
        <f t="shared" si="44"/>
        <v>55340</v>
      </c>
      <c r="L113" s="152">
        <f t="shared" si="44"/>
        <v>0</v>
      </c>
      <c r="M113" s="152">
        <f t="shared" si="44"/>
        <v>0</v>
      </c>
      <c r="N113" s="152">
        <f t="shared" si="44"/>
        <v>0</v>
      </c>
      <c r="O113" s="152">
        <f t="shared" si="44"/>
        <v>800000</v>
      </c>
      <c r="P113" s="152">
        <f t="shared" si="44"/>
        <v>800000</v>
      </c>
      <c r="Q113" s="152">
        <f t="shared" si="44"/>
        <v>800000</v>
      </c>
      <c r="R113" s="152">
        <f t="shared" si="44"/>
        <v>0</v>
      </c>
      <c r="S113" s="174"/>
    </row>
    <row r="114" spans="1:19" ht="22.5" customHeight="1">
      <c r="A114" s="154"/>
      <c r="B114" s="154"/>
      <c r="C114" s="154">
        <v>3020</v>
      </c>
      <c r="D114" s="153" t="s">
        <v>263</v>
      </c>
      <c r="E114" s="155">
        <f aca="true" t="shared" si="45" ref="E114:E134">F114+O114</f>
        <v>54704</v>
      </c>
      <c r="F114" s="155">
        <f aca="true" t="shared" si="46" ref="F114:F134">G114+K114+L114+J114+N114+M114</f>
        <v>54704</v>
      </c>
      <c r="G114" s="155">
        <f aca="true" t="shared" si="47" ref="G114:G134">H114+I114</f>
        <v>0</v>
      </c>
      <c r="H114" s="157">
        <f>'zał 15'!H9+'zał 16'!H9+'zał 17'!H9</f>
        <v>0</v>
      </c>
      <c r="I114" s="157">
        <f>'zał 15'!I9+'zał 16'!I9+'zał 17'!I9</f>
        <v>0</v>
      </c>
      <c r="J114" s="157">
        <f>'zał 15'!J9+'zał 16'!J9+'zał 17'!J9</f>
        <v>0</v>
      </c>
      <c r="K114" s="157">
        <f>'zał 15'!K9+'zał 16'!K9+'zał 17'!K9</f>
        <v>54704</v>
      </c>
      <c r="L114" s="157">
        <f>'zał 15'!L9+'zał 16'!L9+'zał 17'!L9</f>
        <v>0</v>
      </c>
      <c r="M114" s="157">
        <f>'zał 15'!M9+'zał 16'!M9+'zał 17'!M9</f>
        <v>0</v>
      </c>
      <c r="N114" s="157">
        <f>'zał 15'!N9+'zał 16'!N9+'zał 17'!N9</f>
        <v>0</v>
      </c>
      <c r="O114" s="157">
        <f aca="true" t="shared" si="48" ref="O114:O134">P114+R114</f>
        <v>0</v>
      </c>
      <c r="P114" s="157">
        <f aca="true" t="shared" si="49" ref="P114:P134">Q114</f>
        <v>0</v>
      </c>
      <c r="Q114" s="157">
        <f>'zał 15'!Q9+'zał 16'!Q9+'zał 17'!Q9</f>
        <v>0</v>
      </c>
      <c r="R114" s="157">
        <f>'zał 15'!R9+'zał 16'!R9+'zał 17'!R9</f>
        <v>0</v>
      </c>
      <c r="S114" s="174"/>
    </row>
    <row r="115" spans="1:19" ht="22.5" customHeight="1">
      <c r="A115" s="150"/>
      <c r="B115" s="154"/>
      <c r="C115" s="154">
        <v>3050</v>
      </c>
      <c r="D115" s="153" t="s">
        <v>264</v>
      </c>
      <c r="E115" s="155">
        <f t="shared" si="45"/>
        <v>636</v>
      </c>
      <c r="F115" s="155">
        <f t="shared" si="46"/>
        <v>636</v>
      </c>
      <c r="G115" s="155">
        <f t="shared" si="47"/>
        <v>0</v>
      </c>
      <c r="H115" s="157">
        <f>'zał 15'!H10+'zał 16'!H10+'zał 17'!H10</f>
        <v>0</v>
      </c>
      <c r="I115" s="157">
        <f>'zał 15'!I10+'zał 16'!I10+'zał 17'!I10</f>
        <v>0</v>
      </c>
      <c r="J115" s="157">
        <f>'zał 15'!J10+'zał 16'!J10+'zał 17'!J10</f>
        <v>0</v>
      </c>
      <c r="K115" s="157">
        <f>'zał 15'!K10+'zał 16'!K10+'zał 17'!K10</f>
        <v>636</v>
      </c>
      <c r="L115" s="157"/>
      <c r="M115" s="157"/>
      <c r="N115" s="157"/>
      <c r="O115" s="157">
        <f t="shared" si="48"/>
        <v>0</v>
      </c>
      <c r="P115" s="157">
        <f t="shared" si="49"/>
        <v>0</v>
      </c>
      <c r="Q115" s="157">
        <f>'zał 15'!Q10+'zał 16'!Q10+'zał 17'!Q10</f>
        <v>0</v>
      </c>
      <c r="R115" s="157"/>
      <c r="S115" s="174"/>
    </row>
    <row r="116" spans="1:19" ht="22.5" customHeight="1">
      <c r="A116" s="150"/>
      <c r="B116" s="154"/>
      <c r="C116" s="154">
        <v>4010</v>
      </c>
      <c r="D116" s="153" t="s">
        <v>265</v>
      </c>
      <c r="E116" s="155">
        <f t="shared" si="45"/>
        <v>4754803</v>
      </c>
      <c r="F116" s="155">
        <f t="shared" si="46"/>
        <v>4754803</v>
      </c>
      <c r="G116" s="155">
        <f t="shared" si="47"/>
        <v>4754803</v>
      </c>
      <c r="H116" s="157">
        <f>'zał 15'!H11+'zał 16'!H11+'zał 17'!H11</f>
        <v>4754803</v>
      </c>
      <c r="I116" s="157">
        <f>'zał 15'!I11+'zał 16'!I11+'zał 17'!I11</f>
        <v>0</v>
      </c>
      <c r="J116" s="157">
        <f>'zał 15'!J11+'zał 16'!J11+'zał 17'!J11</f>
        <v>0</v>
      </c>
      <c r="K116" s="157">
        <f>'zał 15'!K11+'zał 16'!K11+'zał 17'!K11</f>
        <v>0</v>
      </c>
      <c r="L116" s="157"/>
      <c r="M116" s="157"/>
      <c r="N116" s="157"/>
      <c r="O116" s="157">
        <f t="shared" si="48"/>
        <v>0</v>
      </c>
      <c r="P116" s="157">
        <f t="shared" si="49"/>
        <v>0</v>
      </c>
      <c r="Q116" s="157">
        <f>'zał 15'!Q11+'zał 16'!Q11+'zał 17'!Q11</f>
        <v>0</v>
      </c>
      <c r="R116" s="157"/>
      <c r="S116" s="174"/>
    </row>
    <row r="117" spans="1:19" ht="22.5" customHeight="1">
      <c r="A117" s="150"/>
      <c r="B117" s="154"/>
      <c r="C117" s="154">
        <v>4040</v>
      </c>
      <c r="D117" s="153" t="s">
        <v>225</v>
      </c>
      <c r="E117" s="155">
        <f t="shared" si="45"/>
        <v>398379</v>
      </c>
      <c r="F117" s="155">
        <f t="shared" si="46"/>
        <v>398379</v>
      </c>
      <c r="G117" s="155">
        <f t="shared" si="47"/>
        <v>398379</v>
      </c>
      <c r="H117" s="157">
        <f>'zał 15'!H12+'zał 16'!H12+'zał 17'!H12</f>
        <v>398379</v>
      </c>
      <c r="I117" s="157">
        <f>'zał 15'!I12+'zał 16'!I12+'zał 17'!I12</f>
        <v>0</v>
      </c>
      <c r="J117" s="157">
        <f>'zał 15'!J12+'zał 16'!J12+'zał 17'!J12</f>
        <v>0</v>
      </c>
      <c r="K117" s="157">
        <f>'zał 15'!K12+'zał 16'!K12+'zał 17'!K12</f>
        <v>0</v>
      </c>
      <c r="L117" s="157"/>
      <c r="M117" s="157"/>
      <c r="N117" s="157"/>
      <c r="O117" s="157">
        <f t="shared" si="48"/>
        <v>0</v>
      </c>
      <c r="P117" s="157">
        <f t="shared" si="49"/>
        <v>0</v>
      </c>
      <c r="Q117" s="157">
        <f>'zał 15'!Q12+'zał 16'!Q12+'zał 17'!Q12</f>
        <v>0</v>
      </c>
      <c r="R117" s="157"/>
      <c r="S117" s="174"/>
    </row>
    <row r="118" spans="1:19" ht="22.5" customHeight="1">
      <c r="A118" s="150"/>
      <c r="B118" s="154"/>
      <c r="C118" s="154">
        <v>4110</v>
      </c>
      <c r="D118" s="153" t="s">
        <v>226</v>
      </c>
      <c r="E118" s="155">
        <f t="shared" si="45"/>
        <v>823034</v>
      </c>
      <c r="F118" s="155">
        <f t="shared" si="46"/>
        <v>823034</v>
      </c>
      <c r="G118" s="155">
        <f t="shared" si="47"/>
        <v>823034</v>
      </c>
      <c r="H118" s="157">
        <f>'zał 15'!H13+'zał 16'!H13+'zał 17'!H13</f>
        <v>823034</v>
      </c>
      <c r="I118" s="157">
        <f>'zał 15'!I13+'zał 16'!I13+'zał 17'!I13</f>
        <v>0</v>
      </c>
      <c r="J118" s="157">
        <f>'zał 15'!J13+'zał 16'!J13+'zał 17'!J13</f>
        <v>0</v>
      </c>
      <c r="K118" s="157">
        <f>'zał 15'!K13+'zał 16'!K13+'zał 17'!K13</f>
        <v>0</v>
      </c>
      <c r="L118" s="157"/>
      <c r="M118" s="157"/>
      <c r="N118" s="157"/>
      <c r="O118" s="157">
        <f t="shared" si="48"/>
        <v>0</v>
      </c>
      <c r="P118" s="157">
        <f t="shared" si="49"/>
        <v>0</v>
      </c>
      <c r="Q118" s="157">
        <f>'zał 15'!Q13+'zał 16'!Q13+'zał 17'!Q13</f>
        <v>0</v>
      </c>
      <c r="R118" s="157"/>
      <c r="S118" s="174"/>
    </row>
    <row r="119" spans="1:19" ht="22.5" customHeight="1">
      <c r="A119" s="150"/>
      <c r="B119" s="154"/>
      <c r="C119" s="154">
        <v>4120</v>
      </c>
      <c r="D119" s="153" t="s">
        <v>227</v>
      </c>
      <c r="E119" s="155">
        <f t="shared" si="45"/>
        <v>133579</v>
      </c>
      <c r="F119" s="155">
        <f t="shared" si="46"/>
        <v>133579</v>
      </c>
      <c r="G119" s="155">
        <f t="shared" si="47"/>
        <v>133579</v>
      </c>
      <c r="H119" s="157">
        <f>'zał 15'!H14+'zał 16'!H14+'zał 17'!H14</f>
        <v>133579</v>
      </c>
      <c r="I119" s="157">
        <f>'zał 15'!I14+'zał 16'!I14+'zał 17'!I14</f>
        <v>0</v>
      </c>
      <c r="J119" s="157">
        <f>'zał 15'!J14+'zał 16'!J14+'zał 17'!J14</f>
        <v>0</v>
      </c>
      <c r="K119" s="157">
        <f>'zał 15'!K14+'zał 16'!K14+'zał 17'!K14</f>
        <v>0</v>
      </c>
      <c r="L119" s="157"/>
      <c r="M119" s="157"/>
      <c r="N119" s="157"/>
      <c r="O119" s="157">
        <f t="shared" si="48"/>
        <v>0</v>
      </c>
      <c r="P119" s="157">
        <f t="shared" si="49"/>
        <v>0</v>
      </c>
      <c r="Q119" s="157">
        <f>'zał 15'!Q14+'zał 16'!Q14+'zał 17'!Q14</f>
        <v>0</v>
      </c>
      <c r="R119" s="157"/>
      <c r="S119" s="174"/>
    </row>
    <row r="120" spans="1:19" ht="22.5" customHeight="1">
      <c r="A120" s="150"/>
      <c r="B120" s="154"/>
      <c r="C120" s="154">
        <v>4170</v>
      </c>
      <c r="D120" s="153" t="s">
        <v>229</v>
      </c>
      <c r="E120" s="155">
        <f t="shared" si="45"/>
        <v>28800</v>
      </c>
      <c r="F120" s="155">
        <f t="shared" si="46"/>
        <v>28800</v>
      </c>
      <c r="G120" s="155">
        <f t="shared" si="47"/>
        <v>28800</v>
      </c>
      <c r="H120" s="157">
        <f>'zał 15'!H15+'zał 16'!H15+'zał 17'!H15</f>
        <v>28800</v>
      </c>
      <c r="I120" s="157">
        <f>'zał 15'!I15+'zał 16'!I15+'zał 17'!I15</f>
        <v>0</v>
      </c>
      <c r="J120" s="157">
        <f>'zał 15'!J15+'zał 16'!J15+'zał 17'!J15</f>
        <v>0</v>
      </c>
      <c r="K120" s="157">
        <f>'zał 15'!K15+'zał 16'!K15+'zał 17'!K15</f>
        <v>0</v>
      </c>
      <c r="L120" s="157"/>
      <c r="M120" s="157"/>
      <c r="N120" s="157"/>
      <c r="O120" s="157">
        <f t="shared" si="48"/>
        <v>0</v>
      </c>
      <c r="P120" s="157">
        <f t="shared" si="49"/>
        <v>0</v>
      </c>
      <c r="Q120" s="157">
        <f>'zał 15'!Q15+'zał 16'!Q15+'zał 17'!Q15</f>
        <v>0</v>
      </c>
      <c r="R120" s="157"/>
      <c r="S120" s="174"/>
    </row>
    <row r="121" spans="1:19" ht="22.5" customHeight="1">
      <c r="A121" s="150"/>
      <c r="B121" s="154"/>
      <c r="C121" s="154">
        <v>4210</v>
      </c>
      <c r="D121" s="153" t="s">
        <v>209</v>
      </c>
      <c r="E121" s="155">
        <f t="shared" si="45"/>
        <v>51390</v>
      </c>
      <c r="F121" s="155">
        <f t="shared" si="46"/>
        <v>51390</v>
      </c>
      <c r="G121" s="155">
        <f t="shared" si="47"/>
        <v>51390</v>
      </c>
      <c r="H121" s="157">
        <f>'zał 15'!H16+'zał 16'!H16+'zał 17'!H16</f>
        <v>0</v>
      </c>
      <c r="I121" s="157">
        <f>'zał 15'!I16+'zał 16'!I16+'zał 17'!I16</f>
        <v>51390</v>
      </c>
      <c r="J121" s="157">
        <f>'zał 15'!J16+'zał 16'!J16+'zał 17'!J16</f>
        <v>0</v>
      </c>
      <c r="K121" s="157">
        <f>'zał 15'!K16+'zał 16'!K16+'zał 17'!K16</f>
        <v>0</v>
      </c>
      <c r="L121" s="157"/>
      <c r="M121" s="157"/>
      <c r="N121" s="157"/>
      <c r="O121" s="157">
        <f t="shared" si="48"/>
        <v>0</v>
      </c>
      <c r="P121" s="157">
        <f t="shared" si="49"/>
        <v>0</v>
      </c>
      <c r="Q121" s="157">
        <f>'zał 15'!Q16+'zał 16'!Q16+'zał 17'!Q16</f>
        <v>0</v>
      </c>
      <c r="R121" s="157"/>
      <c r="S121" s="174"/>
    </row>
    <row r="122" spans="1:19" ht="36.75" customHeight="1">
      <c r="A122" s="154"/>
      <c r="B122" s="154"/>
      <c r="C122" s="154">
        <v>4240</v>
      </c>
      <c r="D122" s="153" t="s">
        <v>266</v>
      </c>
      <c r="E122" s="155">
        <f t="shared" si="45"/>
        <v>25000</v>
      </c>
      <c r="F122" s="155">
        <f t="shared" si="46"/>
        <v>25000</v>
      </c>
      <c r="G122" s="155">
        <f t="shared" si="47"/>
        <v>25000</v>
      </c>
      <c r="H122" s="157">
        <f>'zał 15'!H17+'zał 16'!H17+'zał 17'!H17</f>
        <v>0</v>
      </c>
      <c r="I122" s="157">
        <f>'zał 15'!I17+'zał 16'!I17+'zał 17'!I17</f>
        <v>25000</v>
      </c>
      <c r="J122" s="157">
        <f>'zał 15'!J17+'zał 16'!J17+'zał 17'!J17</f>
        <v>0</v>
      </c>
      <c r="K122" s="157">
        <f>'zał 15'!K17+'zał 16'!K17+'zał 17'!K17</f>
        <v>0</v>
      </c>
      <c r="L122" s="157"/>
      <c r="M122" s="157"/>
      <c r="N122" s="157"/>
      <c r="O122" s="157">
        <f t="shared" si="48"/>
        <v>0</v>
      </c>
      <c r="P122" s="157">
        <f t="shared" si="49"/>
        <v>0</v>
      </c>
      <c r="Q122" s="157">
        <f>'zał 15'!Q17+'zał 16'!Q17+'zał 17'!Q17</f>
        <v>0</v>
      </c>
      <c r="R122" s="157"/>
      <c r="S122" s="174"/>
    </row>
    <row r="123" spans="1:19" ht="22.5" customHeight="1">
      <c r="A123" s="154"/>
      <c r="B123" s="154"/>
      <c r="C123" s="154">
        <v>4260</v>
      </c>
      <c r="D123" s="153" t="s">
        <v>267</v>
      </c>
      <c r="E123" s="155">
        <f t="shared" si="45"/>
        <v>494000</v>
      </c>
      <c r="F123" s="155">
        <f t="shared" si="46"/>
        <v>494000</v>
      </c>
      <c r="G123" s="155">
        <f t="shared" si="47"/>
        <v>494000</v>
      </c>
      <c r="H123" s="157">
        <f>'zał 15'!H18+'zał 16'!H18+'zał 17'!H18</f>
        <v>0</v>
      </c>
      <c r="I123" s="157">
        <f>'zał 15'!I18+'zał 16'!I18+'zał 17'!I18</f>
        <v>494000</v>
      </c>
      <c r="J123" s="157">
        <f>'zał 15'!J18+'zał 16'!J18+'zał 17'!J18</f>
        <v>0</v>
      </c>
      <c r="K123" s="157">
        <f>'zał 15'!K18+'zał 16'!K18+'zał 17'!K18</f>
        <v>0</v>
      </c>
      <c r="L123" s="157"/>
      <c r="M123" s="157"/>
      <c r="N123" s="157"/>
      <c r="O123" s="157">
        <f t="shared" si="48"/>
        <v>0</v>
      </c>
      <c r="P123" s="157">
        <f t="shared" si="49"/>
        <v>0</v>
      </c>
      <c r="Q123" s="157">
        <f>'zał 15'!Q18+'zał 16'!Q18+'zał 17'!Q18</f>
        <v>0</v>
      </c>
      <c r="R123" s="157"/>
      <c r="S123" s="174"/>
    </row>
    <row r="124" spans="1:19" ht="22.5" customHeight="1">
      <c r="A124" s="154"/>
      <c r="B124" s="154"/>
      <c r="C124" s="154">
        <v>4270</v>
      </c>
      <c r="D124" s="153" t="s">
        <v>212</v>
      </c>
      <c r="E124" s="155">
        <f t="shared" si="45"/>
        <v>40000</v>
      </c>
      <c r="F124" s="155">
        <f t="shared" si="46"/>
        <v>40000</v>
      </c>
      <c r="G124" s="155">
        <f t="shared" si="47"/>
        <v>40000</v>
      </c>
      <c r="H124" s="157">
        <f>'zał 15'!H19+'zał 16'!H19+'zał 17'!H19</f>
        <v>0</v>
      </c>
      <c r="I124" s="157">
        <f>'zał 15'!I19+'zał 16'!I19+'zał 17'!I19</f>
        <v>40000</v>
      </c>
      <c r="J124" s="157">
        <f>'zał 15'!J19+'zał 16'!J19+'zał 17'!J19</f>
        <v>0</v>
      </c>
      <c r="K124" s="157">
        <f>'zał 15'!K19+'zał 16'!K19+'zał 17'!K19</f>
        <v>0</v>
      </c>
      <c r="L124" s="157"/>
      <c r="M124" s="157"/>
      <c r="N124" s="157"/>
      <c r="O124" s="157">
        <f t="shared" si="48"/>
        <v>0</v>
      </c>
      <c r="P124" s="157">
        <f t="shared" si="49"/>
        <v>0</v>
      </c>
      <c r="Q124" s="157">
        <f>'zał 15'!Q19+'zał 16'!Q19+'zał 17'!Q19</f>
        <v>0</v>
      </c>
      <c r="R124" s="157"/>
      <c r="S124" s="174"/>
    </row>
    <row r="125" spans="1:19" ht="22.5" customHeight="1">
      <c r="A125" s="154"/>
      <c r="B125" s="154"/>
      <c r="C125" s="154">
        <v>4280</v>
      </c>
      <c r="D125" s="153" t="s">
        <v>268</v>
      </c>
      <c r="E125" s="155">
        <f t="shared" si="45"/>
        <v>2900</v>
      </c>
      <c r="F125" s="155">
        <f t="shared" si="46"/>
        <v>2900</v>
      </c>
      <c r="G125" s="155">
        <f t="shared" si="47"/>
        <v>2900</v>
      </c>
      <c r="H125" s="157">
        <f>'zał 15'!H20+'zał 16'!H20+'zał 17'!H20</f>
        <v>0</v>
      </c>
      <c r="I125" s="157">
        <f>'zał 15'!I20+'zał 16'!I20+'zał 17'!I20</f>
        <v>2900</v>
      </c>
      <c r="J125" s="157">
        <f>'zał 15'!J20+'zał 16'!J20+'zał 17'!J20</f>
        <v>0</v>
      </c>
      <c r="K125" s="157">
        <f>'zał 15'!K20+'zał 16'!K20+'zał 17'!K20</f>
        <v>0</v>
      </c>
      <c r="L125" s="157"/>
      <c r="M125" s="156"/>
      <c r="N125" s="156"/>
      <c r="O125" s="157">
        <f t="shared" si="48"/>
        <v>0</v>
      </c>
      <c r="P125" s="157">
        <f t="shared" si="49"/>
        <v>0</v>
      </c>
      <c r="Q125" s="157">
        <f>'zał 15'!Q20+'zał 16'!Q20+'zał 17'!Q20</f>
        <v>0</v>
      </c>
      <c r="R125" s="156"/>
      <c r="S125" s="174"/>
    </row>
    <row r="126" spans="1:19" ht="22.5" customHeight="1">
      <c r="A126" s="154"/>
      <c r="B126" s="154"/>
      <c r="C126" s="154">
        <v>4300</v>
      </c>
      <c r="D126" s="153" t="s">
        <v>205</v>
      </c>
      <c r="E126" s="155">
        <f t="shared" si="45"/>
        <v>81366</v>
      </c>
      <c r="F126" s="155">
        <f t="shared" si="46"/>
        <v>81366</v>
      </c>
      <c r="G126" s="155">
        <f t="shared" si="47"/>
        <v>81366</v>
      </c>
      <c r="H126" s="157">
        <f>'zał 15'!H21+'zał 16'!H21+'zał 17'!H21</f>
        <v>0</v>
      </c>
      <c r="I126" s="157">
        <f>'zał 15'!I21+'zał 16'!I21+'zał 17'!I21</f>
        <v>81366</v>
      </c>
      <c r="J126" s="157">
        <f>'zał 15'!J21+'zał 16'!J21+'zał 17'!J21</f>
        <v>0</v>
      </c>
      <c r="K126" s="157">
        <f>'zał 15'!K21+'zał 16'!K21+'zał 17'!K21</f>
        <v>0</v>
      </c>
      <c r="L126" s="157"/>
      <c r="M126" s="157"/>
      <c r="N126" s="157"/>
      <c r="O126" s="157">
        <f t="shared" si="48"/>
        <v>0</v>
      </c>
      <c r="P126" s="157">
        <f t="shared" si="49"/>
        <v>0</v>
      </c>
      <c r="Q126" s="157">
        <f>'zał 15'!Q21+'zał 16'!Q21+'zał 17'!Q21</f>
        <v>0</v>
      </c>
      <c r="R126" s="157"/>
      <c r="S126" s="174"/>
    </row>
    <row r="127" spans="1:19" ht="22.5" customHeight="1">
      <c r="A127" s="154"/>
      <c r="B127" s="154"/>
      <c r="C127" s="154">
        <v>4350</v>
      </c>
      <c r="D127" s="153" t="s">
        <v>234</v>
      </c>
      <c r="E127" s="155">
        <f t="shared" si="45"/>
        <v>2292</v>
      </c>
      <c r="F127" s="155">
        <f t="shared" si="46"/>
        <v>2292</v>
      </c>
      <c r="G127" s="155">
        <f t="shared" si="47"/>
        <v>2292</v>
      </c>
      <c r="H127" s="157">
        <f>'zał 15'!H22+'zał 16'!H22+'zał 17'!H22</f>
        <v>0</v>
      </c>
      <c r="I127" s="157">
        <f>'zał 15'!I22+'zał 16'!I22+'zał 17'!I22</f>
        <v>2292</v>
      </c>
      <c r="J127" s="157">
        <f>'zał 15'!J22+'zał 16'!J22+'zał 17'!J22</f>
        <v>0</v>
      </c>
      <c r="K127" s="157">
        <f>'zał 15'!K22+'zał 16'!K22+'zał 17'!K22</f>
        <v>0</v>
      </c>
      <c r="L127" s="157"/>
      <c r="M127" s="156"/>
      <c r="N127" s="156"/>
      <c r="O127" s="157">
        <f t="shared" si="48"/>
        <v>0</v>
      </c>
      <c r="P127" s="157">
        <f t="shared" si="49"/>
        <v>0</v>
      </c>
      <c r="Q127" s="157">
        <f>'zał 15'!Q22+'zał 16'!Q22+'zał 17'!Q22</f>
        <v>0</v>
      </c>
      <c r="R127" s="156"/>
      <c r="S127" s="174"/>
    </row>
    <row r="128" spans="1:19" ht="36.75" customHeight="1">
      <c r="A128" s="154"/>
      <c r="B128" s="154"/>
      <c r="C128" s="154">
        <v>4370</v>
      </c>
      <c r="D128" s="153" t="s">
        <v>269</v>
      </c>
      <c r="E128" s="155">
        <f t="shared" si="45"/>
        <v>8100</v>
      </c>
      <c r="F128" s="155">
        <f t="shared" si="46"/>
        <v>8100</v>
      </c>
      <c r="G128" s="155">
        <f t="shared" si="47"/>
        <v>8100</v>
      </c>
      <c r="H128" s="157">
        <f>'zał 15'!H23+'zał 16'!H23+'zał 17'!H23</f>
        <v>0</v>
      </c>
      <c r="I128" s="157">
        <f>'zał 15'!I23+'zał 16'!I23+'zał 17'!I23</f>
        <v>8100</v>
      </c>
      <c r="J128" s="157">
        <f>'zał 15'!J23+'zał 16'!J23+'zał 17'!J23</f>
        <v>0</v>
      </c>
      <c r="K128" s="157">
        <f>'zał 15'!K23+'zał 16'!K23+'zał 17'!K23</f>
        <v>0</v>
      </c>
      <c r="L128" s="157"/>
      <c r="M128" s="157"/>
      <c r="N128" s="157"/>
      <c r="O128" s="157">
        <f t="shared" si="48"/>
        <v>0</v>
      </c>
      <c r="P128" s="157">
        <f t="shared" si="49"/>
        <v>0</v>
      </c>
      <c r="Q128" s="157">
        <f>'zał 15'!Q23+'zał 16'!Q23+'zał 17'!Q23</f>
        <v>0</v>
      </c>
      <c r="R128" s="157"/>
      <c r="S128" s="174"/>
    </row>
    <row r="129" spans="1:19" ht="22.5" customHeight="1">
      <c r="A129" s="154"/>
      <c r="B129" s="154"/>
      <c r="C129" s="154">
        <v>4410</v>
      </c>
      <c r="D129" s="153" t="s">
        <v>238</v>
      </c>
      <c r="E129" s="155">
        <f t="shared" si="45"/>
        <v>3897</v>
      </c>
      <c r="F129" s="155">
        <f t="shared" si="46"/>
        <v>3897</v>
      </c>
      <c r="G129" s="155">
        <f t="shared" si="47"/>
        <v>3897</v>
      </c>
      <c r="H129" s="157">
        <f>'zał 15'!H24+'zał 16'!H24+'zał 17'!H24</f>
        <v>0</v>
      </c>
      <c r="I129" s="157">
        <f>'zał 15'!I24+'zał 16'!I24+'zał 17'!I24</f>
        <v>3897</v>
      </c>
      <c r="J129" s="157">
        <f>'zał 15'!J24+'zał 16'!J24+'zał 17'!J24</f>
        <v>0</v>
      </c>
      <c r="K129" s="157">
        <f>'zał 15'!K24+'zał 16'!K24+'zał 17'!K24</f>
        <v>0</v>
      </c>
      <c r="L129" s="157"/>
      <c r="M129" s="157"/>
      <c r="N129" s="157"/>
      <c r="O129" s="157">
        <f t="shared" si="48"/>
        <v>0</v>
      </c>
      <c r="P129" s="157">
        <f t="shared" si="49"/>
        <v>0</v>
      </c>
      <c r="Q129" s="157">
        <f>'zał 15'!Q24+'zał 16'!Q24+'zał 17'!Q24</f>
        <v>0</v>
      </c>
      <c r="R129" s="157"/>
      <c r="S129" s="174"/>
    </row>
    <row r="130" spans="1:19" ht="22.5" customHeight="1">
      <c r="A130" s="154"/>
      <c r="B130" s="154"/>
      <c r="C130" s="154">
        <v>4430</v>
      </c>
      <c r="D130" s="153" t="s">
        <v>270</v>
      </c>
      <c r="E130" s="155">
        <f t="shared" si="45"/>
        <v>6135</v>
      </c>
      <c r="F130" s="155">
        <f t="shared" si="46"/>
        <v>6135</v>
      </c>
      <c r="G130" s="155">
        <f t="shared" si="47"/>
        <v>6135</v>
      </c>
      <c r="H130" s="157">
        <f>'zał 15'!H25+'zał 16'!H25+'zał 17'!H25</f>
        <v>0</v>
      </c>
      <c r="I130" s="157">
        <f>'zał 15'!I25+'zał 16'!I25+'zał 17'!I25</f>
        <v>6135</v>
      </c>
      <c r="J130" s="157">
        <f>'zał 15'!J25+'zał 16'!J25+'zał 17'!J25</f>
        <v>0</v>
      </c>
      <c r="K130" s="157">
        <f>'zał 15'!K25+'zał 16'!K25+'zał 17'!K25</f>
        <v>0</v>
      </c>
      <c r="L130" s="157"/>
      <c r="M130" s="157"/>
      <c r="N130" s="157"/>
      <c r="O130" s="157">
        <f t="shared" si="48"/>
        <v>0</v>
      </c>
      <c r="P130" s="157">
        <f t="shared" si="49"/>
        <v>0</v>
      </c>
      <c r="Q130" s="157">
        <f>'zał 15'!Q25+'zał 16'!Q25+'zał 17'!Q25</f>
        <v>0</v>
      </c>
      <c r="R130" s="157"/>
      <c r="S130" s="174"/>
    </row>
    <row r="131" spans="1:19" ht="36.75" customHeight="1">
      <c r="A131" s="154"/>
      <c r="B131" s="154"/>
      <c r="C131" s="154">
        <v>4440</v>
      </c>
      <c r="D131" s="153" t="s">
        <v>271</v>
      </c>
      <c r="E131" s="155">
        <f t="shared" si="45"/>
        <v>257466</v>
      </c>
      <c r="F131" s="155">
        <f t="shared" si="46"/>
        <v>257466</v>
      </c>
      <c r="G131" s="155">
        <f t="shared" si="47"/>
        <v>257466</v>
      </c>
      <c r="H131" s="157">
        <f>'zał 15'!H26+'zał 16'!H26+'zał 17'!H26</f>
        <v>0</v>
      </c>
      <c r="I131" s="157">
        <f>'zał 15'!I26+'zał 16'!I26+'zał 17'!I26</f>
        <v>257466</v>
      </c>
      <c r="J131" s="157">
        <f>'zał 15'!J26+'zał 16'!J26+'zał 17'!J26</f>
        <v>0</v>
      </c>
      <c r="K131" s="157">
        <f>'zał 15'!K26+'zał 16'!K26+'zał 17'!K26</f>
        <v>0</v>
      </c>
      <c r="L131" s="157"/>
      <c r="M131" s="157"/>
      <c r="N131" s="157"/>
      <c r="O131" s="157">
        <f t="shared" si="48"/>
        <v>0</v>
      </c>
      <c r="P131" s="157">
        <f t="shared" si="49"/>
        <v>0</v>
      </c>
      <c r="Q131" s="157">
        <f>'zał 15'!Q26+'zał 16'!Q26+'zał 17'!Q26</f>
        <v>0</v>
      </c>
      <c r="R131" s="157"/>
      <c r="S131" s="174"/>
    </row>
    <row r="132" spans="1:19" ht="22.5" customHeight="1">
      <c r="A132" s="175"/>
      <c r="B132" s="175"/>
      <c r="C132" s="176">
        <v>4480</v>
      </c>
      <c r="D132" s="177" t="s">
        <v>272</v>
      </c>
      <c r="E132" s="155">
        <f t="shared" si="45"/>
        <v>250</v>
      </c>
      <c r="F132" s="155">
        <f t="shared" si="46"/>
        <v>250</v>
      </c>
      <c r="G132" s="155">
        <f t="shared" si="47"/>
        <v>250</v>
      </c>
      <c r="H132" s="157">
        <f>'zał 15'!H27+'zał 16'!H27+'zał 17'!H27</f>
        <v>0</v>
      </c>
      <c r="I132" s="157">
        <f>'zał 15'!I27+'zał 16'!I27+'zał 17'!I27</f>
        <v>250</v>
      </c>
      <c r="J132" s="157">
        <f>'zał 15'!J27+'zał 16'!J27+'zał 17'!J27</f>
        <v>0</v>
      </c>
      <c r="K132" s="157">
        <f>'zał 15'!K27+'zał 16'!K27+'zał 17'!K27</f>
        <v>0</v>
      </c>
      <c r="L132" s="155"/>
      <c r="M132" s="155"/>
      <c r="N132" s="155"/>
      <c r="O132" s="157">
        <f t="shared" si="48"/>
        <v>0</v>
      </c>
      <c r="P132" s="157">
        <f t="shared" si="49"/>
        <v>0</v>
      </c>
      <c r="Q132" s="157">
        <f>'zał 15'!Q27+'zał 16'!Q27+'zał 17'!Q27</f>
        <v>0</v>
      </c>
      <c r="R132" s="155"/>
      <c r="S132" s="174"/>
    </row>
    <row r="133" spans="1:19" ht="36.75" customHeight="1">
      <c r="A133" s="154"/>
      <c r="B133" s="154"/>
      <c r="C133" s="154">
        <v>4700</v>
      </c>
      <c r="D133" s="153" t="s">
        <v>242</v>
      </c>
      <c r="E133" s="155">
        <f t="shared" si="45"/>
        <v>5000</v>
      </c>
      <c r="F133" s="155">
        <f t="shared" si="46"/>
        <v>5000</v>
      </c>
      <c r="G133" s="155">
        <f t="shared" si="47"/>
        <v>5000</v>
      </c>
      <c r="H133" s="157">
        <f>'zał 15'!H28+'zał 16'!H28+'zał 17'!H28</f>
        <v>0</v>
      </c>
      <c r="I133" s="157">
        <f>'zał 15'!I28+'zał 16'!I28+'zał 17'!I28</f>
        <v>5000</v>
      </c>
      <c r="J133" s="157">
        <f>'zał 15'!J28+'zał 16'!J28+'zał 17'!J28</f>
        <v>0</v>
      </c>
      <c r="K133" s="157">
        <f>'zał 15'!K28+'zał 16'!K28+'zał 17'!K28</f>
        <v>0</v>
      </c>
      <c r="L133" s="157"/>
      <c r="M133" s="157"/>
      <c r="N133" s="157"/>
      <c r="O133" s="157">
        <f t="shared" si="48"/>
        <v>0</v>
      </c>
      <c r="P133" s="157">
        <f t="shared" si="49"/>
        <v>0</v>
      </c>
      <c r="Q133" s="157">
        <f>'zał 15'!Q28+'zał 16'!Q28+'zał 17'!Q28</f>
        <v>0</v>
      </c>
      <c r="R133" s="157"/>
      <c r="S133" s="174"/>
    </row>
    <row r="134" spans="1:19" ht="22.5" customHeight="1">
      <c r="A134" s="154"/>
      <c r="B134" s="154"/>
      <c r="C134" s="154">
        <v>6057</v>
      </c>
      <c r="D134" s="153" t="s">
        <v>273</v>
      </c>
      <c r="E134" s="155">
        <f t="shared" si="45"/>
        <v>800000</v>
      </c>
      <c r="F134" s="155">
        <f t="shared" si="46"/>
        <v>0</v>
      </c>
      <c r="G134" s="155">
        <f t="shared" si="47"/>
        <v>0</v>
      </c>
      <c r="H134" s="157">
        <f>'zał 15'!H29+'zał 16'!H29+'zał 17'!H29</f>
        <v>0</v>
      </c>
      <c r="I134" s="157">
        <f>'zał 15'!I29+'zał 16'!I29+'zał 17'!I29</f>
        <v>0</v>
      </c>
      <c r="J134" s="157">
        <f>'zał 15'!J29+'zał 16'!J29+'zał 17'!J29</f>
        <v>0</v>
      </c>
      <c r="K134" s="157">
        <f>'zał 15'!K29+'zał 16'!K29+'zał 17'!K29</f>
        <v>0</v>
      </c>
      <c r="L134" s="157"/>
      <c r="M134" s="157"/>
      <c r="N134" s="157"/>
      <c r="O134" s="157">
        <f t="shared" si="48"/>
        <v>800000</v>
      </c>
      <c r="P134" s="157">
        <f t="shared" si="49"/>
        <v>800000</v>
      </c>
      <c r="Q134" s="157">
        <f>'zał 15'!Q29+'zał 16'!Q29+'zał 17'!Q29</f>
        <v>800000</v>
      </c>
      <c r="R134" s="178"/>
      <c r="S134" s="174"/>
    </row>
    <row r="135" spans="1:19" ht="39" customHeight="1">
      <c r="A135" s="150"/>
      <c r="B135" s="150">
        <v>80103</v>
      </c>
      <c r="C135" s="150"/>
      <c r="D135" s="161" t="s">
        <v>274</v>
      </c>
      <c r="E135" s="152">
        <f aca="true" t="shared" si="50" ref="E135:R135">SUM(E136:E144)</f>
        <v>283232</v>
      </c>
      <c r="F135" s="152">
        <f t="shared" si="50"/>
        <v>283232</v>
      </c>
      <c r="G135" s="152">
        <f t="shared" si="50"/>
        <v>279436</v>
      </c>
      <c r="H135" s="152">
        <f t="shared" si="50"/>
        <v>254014</v>
      </c>
      <c r="I135" s="152">
        <f t="shared" si="50"/>
        <v>25422</v>
      </c>
      <c r="J135" s="152">
        <f t="shared" si="50"/>
        <v>0</v>
      </c>
      <c r="K135" s="152">
        <f t="shared" si="50"/>
        <v>3796</v>
      </c>
      <c r="L135" s="152">
        <f t="shared" si="50"/>
        <v>0</v>
      </c>
      <c r="M135" s="152">
        <f t="shared" si="50"/>
        <v>0</v>
      </c>
      <c r="N135" s="152">
        <f t="shared" si="50"/>
        <v>0</v>
      </c>
      <c r="O135" s="152">
        <f t="shared" si="50"/>
        <v>0</v>
      </c>
      <c r="P135" s="152">
        <f t="shared" si="50"/>
        <v>0</v>
      </c>
      <c r="Q135" s="152">
        <f t="shared" si="50"/>
        <v>0</v>
      </c>
      <c r="R135" s="152">
        <f t="shared" si="50"/>
        <v>0</v>
      </c>
      <c r="S135" s="174"/>
    </row>
    <row r="136" spans="1:19" ht="22.5" customHeight="1">
      <c r="A136" s="154"/>
      <c r="B136" s="154"/>
      <c r="C136" s="154">
        <v>3020</v>
      </c>
      <c r="D136" s="153" t="s">
        <v>263</v>
      </c>
      <c r="E136" s="155">
        <f aca="true" t="shared" si="51" ref="E136:E144">F136+O136</f>
        <v>3796</v>
      </c>
      <c r="F136" s="155">
        <f aca="true" t="shared" si="52" ref="F136:F144">G136+K136+L136+J136+N136+M136</f>
        <v>3796</v>
      </c>
      <c r="G136" s="155">
        <f aca="true" t="shared" si="53" ref="G136:G144">H136+I136</f>
        <v>0</v>
      </c>
      <c r="H136" s="157">
        <f>'zał 15'!H31+'zał 16'!H31+'zał 17'!H31</f>
        <v>0</v>
      </c>
      <c r="I136" s="157">
        <f>'zał 15'!I31+'zał 16'!I31+'zał 17'!I31</f>
        <v>0</v>
      </c>
      <c r="J136" s="157">
        <f>'zał 15'!J31+'zał 16'!J31+'zał 17'!J31</f>
        <v>0</v>
      </c>
      <c r="K136" s="157">
        <f>'zał 15'!K31+'zał 16'!K31+'zał 17'!K31</f>
        <v>3796</v>
      </c>
      <c r="L136" s="157"/>
      <c r="M136" s="157"/>
      <c r="N136" s="157"/>
      <c r="O136" s="157"/>
      <c r="P136" s="157"/>
      <c r="Q136" s="157"/>
      <c r="R136" s="157"/>
      <c r="S136" s="174"/>
    </row>
    <row r="137" spans="1:19" ht="22.5" customHeight="1">
      <c r="A137" s="154"/>
      <c r="B137" s="154"/>
      <c r="C137" s="154">
        <v>4010</v>
      </c>
      <c r="D137" s="153" t="s">
        <v>275</v>
      </c>
      <c r="E137" s="155">
        <f t="shared" si="51"/>
        <v>194635</v>
      </c>
      <c r="F137" s="155">
        <f t="shared" si="52"/>
        <v>194635</v>
      </c>
      <c r="G137" s="155">
        <f t="shared" si="53"/>
        <v>194635</v>
      </c>
      <c r="H137" s="157">
        <f>'zał 15'!H32+'zał 16'!H32+'zał 17'!H32</f>
        <v>194635</v>
      </c>
      <c r="I137" s="157">
        <f>'zał 15'!I32+'zał 16'!I32+'zał 17'!I32</f>
        <v>0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74"/>
    </row>
    <row r="138" spans="1:19" ht="22.5" customHeight="1">
      <c r="A138" s="154"/>
      <c r="B138" s="154"/>
      <c r="C138" s="154">
        <v>4040</v>
      </c>
      <c r="D138" s="153" t="s">
        <v>225</v>
      </c>
      <c r="E138" s="155">
        <f t="shared" si="51"/>
        <v>18195</v>
      </c>
      <c r="F138" s="155">
        <f t="shared" si="52"/>
        <v>18195</v>
      </c>
      <c r="G138" s="155">
        <f t="shared" si="53"/>
        <v>18195</v>
      </c>
      <c r="H138" s="157">
        <f>'zał 15'!H33+'zał 16'!H33+'zał 17'!H33</f>
        <v>18195</v>
      </c>
      <c r="I138" s="157">
        <f>'zał 15'!I33+'zał 16'!I33+'zał 17'!I33</f>
        <v>0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74"/>
    </row>
    <row r="139" spans="1:19" ht="22.5" customHeight="1">
      <c r="A139" s="154"/>
      <c r="B139" s="154"/>
      <c r="C139" s="154">
        <v>4110</v>
      </c>
      <c r="D139" s="153" t="s">
        <v>226</v>
      </c>
      <c r="E139" s="155">
        <f t="shared" si="51"/>
        <v>35384</v>
      </c>
      <c r="F139" s="155">
        <f t="shared" si="52"/>
        <v>35384</v>
      </c>
      <c r="G139" s="155">
        <f t="shared" si="53"/>
        <v>35384</v>
      </c>
      <c r="H139" s="157">
        <f>'zał 15'!H34+'zał 16'!H34+'zał 17'!H34</f>
        <v>35384</v>
      </c>
      <c r="I139" s="157">
        <f>'zał 15'!I34+'zał 16'!I34+'zał 17'!I34</f>
        <v>0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74"/>
    </row>
    <row r="140" spans="1:19" ht="22.5" customHeight="1">
      <c r="A140" s="154"/>
      <c r="B140" s="154"/>
      <c r="C140" s="154">
        <v>4120</v>
      </c>
      <c r="D140" s="153" t="s">
        <v>227</v>
      </c>
      <c r="E140" s="155">
        <f t="shared" si="51"/>
        <v>5800</v>
      </c>
      <c r="F140" s="155">
        <f t="shared" si="52"/>
        <v>5800</v>
      </c>
      <c r="G140" s="155">
        <f t="shared" si="53"/>
        <v>5800</v>
      </c>
      <c r="H140" s="157">
        <f>'zał 15'!H35+'zał 16'!H35+'zał 17'!H35</f>
        <v>5800</v>
      </c>
      <c r="I140" s="157">
        <f>'zał 15'!I35+'zał 16'!I35+'zał 17'!I35</f>
        <v>0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74"/>
    </row>
    <row r="141" spans="1:19" ht="22.5" customHeight="1">
      <c r="A141" s="175"/>
      <c r="B141" s="175"/>
      <c r="C141" s="176">
        <v>4210</v>
      </c>
      <c r="D141" s="177" t="s">
        <v>276</v>
      </c>
      <c r="E141" s="155">
        <f t="shared" si="51"/>
        <v>5550</v>
      </c>
      <c r="F141" s="155">
        <f t="shared" si="52"/>
        <v>5550</v>
      </c>
      <c r="G141" s="155">
        <f t="shared" si="53"/>
        <v>5550</v>
      </c>
      <c r="H141" s="157">
        <f>'zał 15'!H36+'zał 16'!H36+'zał 17'!H36</f>
        <v>0</v>
      </c>
      <c r="I141" s="157">
        <f>'zał 15'!I36+'zał 16'!I36+'zał 17'!I36</f>
        <v>5550</v>
      </c>
      <c r="J141" s="155"/>
      <c r="K141" s="155"/>
      <c r="L141" s="155"/>
      <c r="M141" s="155"/>
      <c r="N141" s="155"/>
      <c r="O141" s="155"/>
      <c r="P141" s="155"/>
      <c r="Q141" s="155"/>
      <c r="R141" s="155"/>
      <c r="S141" s="174"/>
    </row>
    <row r="142" spans="1:19" ht="22.5" customHeight="1">
      <c r="A142" s="175"/>
      <c r="B142" s="175"/>
      <c r="C142" s="176">
        <v>4240</v>
      </c>
      <c r="D142" s="177" t="s">
        <v>277</v>
      </c>
      <c r="E142" s="155">
        <f t="shared" si="51"/>
        <v>5650</v>
      </c>
      <c r="F142" s="155">
        <f t="shared" si="52"/>
        <v>5650</v>
      </c>
      <c r="G142" s="155">
        <f t="shared" si="53"/>
        <v>5650</v>
      </c>
      <c r="H142" s="157">
        <f>'zał 15'!H37+'zał 16'!H37+'zał 17'!H37</f>
        <v>0</v>
      </c>
      <c r="I142" s="157">
        <f>'zał 15'!I37+'zał 16'!I37+'zał 17'!I37</f>
        <v>5650</v>
      </c>
      <c r="J142" s="155"/>
      <c r="K142" s="155"/>
      <c r="L142" s="155"/>
      <c r="M142" s="155"/>
      <c r="N142" s="155"/>
      <c r="O142" s="155"/>
      <c r="P142" s="155"/>
      <c r="Q142" s="155"/>
      <c r="R142" s="155"/>
      <c r="S142" s="174"/>
    </row>
    <row r="143" spans="1:19" ht="22.5" customHeight="1">
      <c r="A143" s="175"/>
      <c r="B143" s="175"/>
      <c r="C143" s="176">
        <v>4280</v>
      </c>
      <c r="D143" s="177" t="s">
        <v>278</v>
      </c>
      <c r="E143" s="155">
        <f t="shared" si="51"/>
        <v>400</v>
      </c>
      <c r="F143" s="155">
        <f t="shared" si="52"/>
        <v>400</v>
      </c>
      <c r="G143" s="155">
        <f t="shared" si="53"/>
        <v>400</v>
      </c>
      <c r="H143" s="157">
        <f>'zał 15'!H38+'zał 16'!H38+'zał 17'!H38</f>
        <v>0</v>
      </c>
      <c r="I143" s="157">
        <f>'zał 15'!I38+'zał 16'!I38+'zał 17'!I38</f>
        <v>400</v>
      </c>
      <c r="J143" s="155"/>
      <c r="K143" s="155"/>
      <c r="L143" s="155"/>
      <c r="M143" s="155"/>
      <c r="N143" s="155"/>
      <c r="O143" s="155"/>
      <c r="P143" s="155"/>
      <c r="Q143" s="155"/>
      <c r="R143" s="155"/>
      <c r="S143" s="174"/>
    </row>
    <row r="144" spans="1:19" ht="36.75" customHeight="1">
      <c r="A144" s="175"/>
      <c r="B144" s="175"/>
      <c r="C144" s="176">
        <v>4440</v>
      </c>
      <c r="D144" s="177" t="s">
        <v>279</v>
      </c>
      <c r="E144" s="155">
        <f t="shared" si="51"/>
        <v>13822</v>
      </c>
      <c r="F144" s="155">
        <f t="shared" si="52"/>
        <v>13822</v>
      </c>
      <c r="G144" s="155">
        <f t="shared" si="53"/>
        <v>13822</v>
      </c>
      <c r="H144" s="157">
        <f>'zał 15'!H39+'zał 16'!H39+'zał 17'!H39</f>
        <v>0</v>
      </c>
      <c r="I144" s="157">
        <f>'zał 15'!I39+'zał 16'!I39+'zał 17'!I39</f>
        <v>13822</v>
      </c>
      <c r="J144" s="155"/>
      <c r="K144" s="155"/>
      <c r="L144" s="155"/>
      <c r="M144" s="155"/>
      <c r="N144" s="155"/>
      <c r="O144" s="155"/>
      <c r="P144" s="155"/>
      <c r="Q144" s="155"/>
      <c r="R144" s="155"/>
      <c r="S144" s="174"/>
    </row>
    <row r="145" spans="1:18" ht="22.5" customHeight="1">
      <c r="A145" s="150"/>
      <c r="B145" s="150">
        <v>80104</v>
      </c>
      <c r="C145" s="150"/>
      <c r="D145" s="161" t="s">
        <v>280</v>
      </c>
      <c r="E145" s="152">
        <f aca="true" t="shared" si="54" ref="E145:R145">SUM(E146:E163)</f>
        <v>4798572</v>
      </c>
      <c r="F145" s="152">
        <f t="shared" si="54"/>
        <v>4798572</v>
      </c>
      <c r="G145" s="152">
        <f t="shared" si="54"/>
        <v>3130775</v>
      </c>
      <c r="H145" s="152">
        <f t="shared" si="54"/>
        <v>2564810</v>
      </c>
      <c r="I145" s="152">
        <f t="shared" si="54"/>
        <v>565965</v>
      </c>
      <c r="J145" s="152">
        <f t="shared" si="54"/>
        <v>1657776</v>
      </c>
      <c r="K145" s="152">
        <f t="shared" si="54"/>
        <v>10021</v>
      </c>
      <c r="L145" s="152">
        <f t="shared" si="54"/>
        <v>0</v>
      </c>
      <c r="M145" s="152">
        <f t="shared" si="54"/>
        <v>0</v>
      </c>
      <c r="N145" s="152">
        <f t="shared" si="54"/>
        <v>0</v>
      </c>
      <c r="O145" s="152">
        <f t="shared" si="54"/>
        <v>0</v>
      </c>
      <c r="P145" s="152">
        <f t="shared" si="54"/>
        <v>0</v>
      </c>
      <c r="Q145" s="152">
        <f t="shared" si="54"/>
        <v>0</v>
      </c>
      <c r="R145" s="152">
        <f t="shared" si="54"/>
        <v>0</v>
      </c>
    </row>
    <row r="146" spans="1:19" ht="36.75" customHeight="1">
      <c r="A146" s="154"/>
      <c r="B146" s="154"/>
      <c r="C146" s="154">
        <v>2540</v>
      </c>
      <c r="D146" s="153" t="s">
        <v>281</v>
      </c>
      <c r="E146" s="155">
        <f aca="true" t="shared" si="55" ref="E146:E163">F146+O146</f>
        <v>1657776</v>
      </c>
      <c r="F146" s="155">
        <f aca="true" t="shared" si="56" ref="F146:F163">G146+K146+L146+J146+N146+M146</f>
        <v>1657776</v>
      </c>
      <c r="G146" s="155">
        <f aca="true" t="shared" si="57" ref="G146:G163">H146+I146</f>
        <v>0</v>
      </c>
      <c r="H146" s="157"/>
      <c r="I146" s="157"/>
      <c r="J146" s="157">
        <f>'zał 24'!E6</f>
        <v>1657776</v>
      </c>
      <c r="K146" s="157"/>
      <c r="L146" s="157"/>
      <c r="M146" s="178"/>
      <c r="N146" s="157"/>
      <c r="O146" s="157"/>
      <c r="P146" s="157"/>
      <c r="Q146" s="157"/>
      <c r="R146" s="157"/>
      <c r="S146"/>
    </row>
    <row r="147" spans="1:18" ht="22.5" customHeight="1">
      <c r="A147" s="150"/>
      <c r="B147" s="150"/>
      <c r="C147" s="154">
        <v>3020</v>
      </c>
      <c r="D147" s="153" t="s">
        <v>282</v>
      </c>
      <c r="E147" s="155">
        <f t="shared" si="55"/>
        <v>10021</v>
      </c>
      <c r="F147" s="155">
        <f t="shared" si="56"/>
        <v>10021</v>
      </c>
      <c r="G147" s="155">
        <f t="shared" si="57"/>
        <v>0</v>
      </c>
      <c r="H147" s="157">
        <f>'zał 18'!H9+'zał 19'!H9</f>
        <v>0</v>
      </c>
      <c r="I147" s="157">
        <f>'zał 18'!I9+'zał 19'!I9</f>
        <v>0</v>
      </c>
      <c r="J147" s="157">
        <f>'zał 18'!J9+'zał 19'!J9</f>
        <v>0</v>
      </c>
      <c r="K147" s="157">
        <f>'zał 18'!K9+'zał 19'!K9</f>
        <v>10021</v>
      </c>
      <c r="L147" s="157"/>
      <c r="M147" s="157"/>
      <c r="N147" s="157"/>
      <c r="O147" s="157"/>
      <c r="P147" s="157"/>
      <c r="Q147" s="157"/>
      <c r="R147" s="157"/>
    </row>
    <row r="148" spans="1:18" ht="22.5" customHeight="1">
      <c r="A148" s="154"/>
      <c r="B148" s="154"/>
      <c r="C148" s="154">
        <v>4010</v>
      </c>
      <c r="D148" s="153" t="s">
        <v>265</v>
      </c>
      <c r="E148" s="155">
        <f t="shared" si="55"/>
        <v>1977960</v>
      </c>
      <c r="F148" s="155">
        <f t="shared" si="56"/>
        <v>1977960</v>
      </c>
      <c r="G148" s="155">
        <f t="shared" si="57"/>
        <v>1977960</v>
      </c>
      <c r="H148" s="157">
        <f>'zał 18'!H10+'zał 19'!H10</f>
        <v>1977960</v>
      </c>
      <c r="I148" s="157">
        <f>'zał 18'!I10+'zał 19'!I10</f>
        <v>0</v>
      </c>
      <c r="J148" s="157"/>
      <c r="K148" s="157"/>
      <c r="L148" s="157"/>
      <c r="M148" s="157"/>
      <c r="N148" s="157"/>
      <c r="O148" s="157"/>
      <c r="P148" s="157"/>
      <c r="Q148" s="157"/>
      <c r="R148" s="157"/>
    </row>
    <row r="149" spans="1:18" ht="22.5" customHeight="1">
      <c r="A149" s="154"/>
      <c r="B149" s="154"/>
      <c r="C149" s="154">
        <v>4040</v>
      </c>
      <c r="D149" s="153" t="s">
        <v>283</v>
      </c>
      <c r="E149" s="155">
        <f t="shared" si="55"/>
        <v>189180</v>
      </c>
      <c r="F149" s="155">
        <f t="shared" si="56"/>
        <v>189180</v>
      </c>
      <c r="G149" s="155">
        <f t="shared" si="57"/>
        <v>189180</v>
      </c>
      <c r="H149" s="157">
        <f>'zał 18'!H11+'zał 19'!H11</f>
        <v>189180</v>
      </c>
      <c r="I149" s="157">
        <f>'zał 18'!I11+'zał 19'!I11</f>
        <v>0</v>
      </c>
      <c r="J149" s="157"/>
      <c r="K149" s="157"/>
      <c r="L149" s="157"/>
      <c r="M149" s="157"/>
      <c r="N149" s="157"/>
      <c r="O149" s="157"/>
      <c r="P149" s="157"/>
      <c r="Q149" s="157"/>
      <c r="R149" s="157"/>
    </row>
    <row r="150" spans="1:18" ht="22.5" customHeight="1">
      <c r="A150" s="154"/>
      <c r="B150" s="154"/>
      <c r="C150" s="154">
        <v>4110</v>
      </c>
      <c r="D150" s="153" t="s">
        <v>284</v>
      </c>
      <c r="E150" s="155">
        <f t="shared" si="55"/>
        <v>344575</v>
      </c>
      <c r="F150" s="155">
        <f t="shared" si="56"/>
        <v>344575</v>
      </c>
      <c r="G150" s="155">
        <f t="shared" si="57"/>
        <v>344575</v>
      </c>
      <c r="H150" s="157">
        <f>'zał 18'!H12+'zał 19'!H12</f>
        <v>344575</v>
      </c>
      <c r="I150" s="157">
        <f>'zał 18'!I12+'zał 19'!I12</f>
        <v>0</v>
      </c>
      <c r="J150" s="157"/>
      <c r="K150" s="157"/>
      <c r="L150" s="157"/>
      <c r="M150" s="157"/>
      <c r="N150" s="157"/>
      <c r="O150" s="157"/>
      <c r="P150" s="157"/>
      <c r="Q150" s="157"/>
      <c r="R150" s="157"/>
    </row>
    <row r="151" spans="1:18" ht="22.5" customHeight="1">
      <c r="A151" s="154"/>
      <c r="B151" s="154"/>
      <c r="C151" s="154">
        <v>4120</v>
      </c>
      <c r="D151" s="153" t="s">
        <v>285</v>
      </c>
      <c r="E151" s="155">
        <f t="shared" si="55"/>
        <v>53095</v>
      </c>
      <c r="F151" s="155">
        <f t="shared" si="56"/>
        <v>53095</v>
      </c>
      <c r="G151" s="155">
        <f t="shared" si="57"/>
        <v>53095</v>
      </c>
      <c r="H151" s="157">
        <f>'zał 18'!H13+'zał 19'!H13</f>
        <v>53095</v>
      </c>
      <c r="I151" s="157">
        <f>'zał 18'!I13+'zał 19'!I13</f>
        <v>0</v>
      </c>
      <c r="J151" s="157"/>
      <c r="K151" s="157"/>
      <c r="L151" s="157"/>
      <c r="M151" s="157"/>
      <c r="N151" s="157"/>
      <c r="O151" s="157"/>
      <c r="P151" s="157"/>
      <c r="Q151" s="157"/>
      <c r="R151" s="157"/>
    </row>
    <row r="152" spans="1:18" ht="22.5" customHeight="1">
      <c r="A152" s="154"/>
      <c r="B152" s="154"/>
      <c r="C152" s="154">
        <v>4210</v>
      </c>
      <c r="D152" s="153" t="s">
        <v>276</v>
      </c>
      <c r="E152" s="155">
        <f t="shared" si="55"/>
        <v>45600</v>
      </c>
      <c r="F152" s="155">
        <f t="shared" si="56"/>
        <v>45600</v>
      </c>
      <c r="G152" s="155">
        <f t="shared" si="57"/>
        <v>45600</v>
      </c>
      <c r="H152" s="157">
        <f>'zał 18'!H14+'zał 19'!H14</f>
        <v>0</v>
      </c>
      <c r="I152" s="157">
        <f>'zał 18'!I14+'zał 19'!I14</f>
        <v>45600</v>
      </c>
      <c r="J152" s="157"/>
      <c r="K152" s="157"/>
      <c r="L152" s="157"/>
      <c r="M152" s="157"/>
      <c r="N152" s="157"/>
      <c r="O152" s="157"/>
      <c r="P152" s="157"/>
      <c r="Q152" s="157"/>
      <c r="R152" s="157"/>
    </row>
    <row r="153" spans="1:18" ht="22.5" customHeight="1">
      <c r="A153" s="154"/>
      <c r="B153" s="154"/>
      <c r="C153" s="154">
        <v>4240</v>
      </c>
      <c r="D153" s="153" t="s">
        <v>277</v>
      </c>
      <c r="E153" s="155">
        <f t="shared" si="55"/>
        <v>6600</v>
      </c>
      <c r="F153" s="155">
        <f t="shared" si="56"/>
        <v>6600</v>
      </c>
      <c r="G153" s="155">
        <f t="shared" si="57"/>
        <v>6600</v>
      </c>
      <c r="H153" s="157">
        <f>'zał 18'!H15+'zał 19'!H15</f>
        <v>0</v>
      </c>
      <c r="I153" s="157">
        <f>'zał 18'!I15+'zał 19'!I15</f>
        <v>6600</v>
      </c>
      <c r="J153" s="157"/>
      <c r="K153" s="157"/>
      <c r="L153" s="157"/>
      <c r="M153" s="157"/>
      <c r="N153" s="157"/>
      <c r="O153" s="157"/>
      <c r="P153" s="157"/>
      <c r="Q153" s="157"/>
      <c r="R153" s="157"/>
    </row>
    <row r="154" spans="1:18" ht="22.5" customHeight="1">
      <c r="A154" s="154"/>
      <c r="B154" s="154"/>
      <c r="C154" s="154">
        <v>4260</v>
      </c>
      <c r="D154" s="153" t="s">
        <v>286</v>
      </c>
      <c r="E154" s="155">
        <f t="shared" si="55"/>
        <v>318067</v>
      </c>
      <c r="F154" s="155">
        <f t="shared" si="56"/>
        <v>318067</v>
      </c>
      <c r="G154" s="155">
        <f t="shared" si="57"/>
        <v>318067</v>
      </c>
      <c r="H154" s="157">
        <f>'zał 18'!H16+'zał 19'!H16</f>
        <v>0</v>
      </c>
      <c r="I154" s="157">
        <f>'zał 18'!I16+'zał 19'!I16</f>
        <v>318067</v>
      </c>
      <c r="J154" s="157"/>
      <c r="K154" s="157"/>
      <c r="L154" s="157"/>
      <c r="M154" s="157"/>
      <c r="N154" s="157"/>
      <c r="O154" s="157"/>
      <c r="P154" s="157"/>
      <c r="Q154" s="157"/>
      <c r="R154" s="157"/>
    </row>
    <row r="155" spans="1:18" ht="22.5" customHeight="1">
      <c r="A155" s="154"/>
      <c r="B155" s="154"/>
      <c r="C155" s="154">
        <v>4270</v>
      </c>
      <c r="D155" s="153" t="s">
        <v>231</v>
      </c>
      <c r="E155" s="155">
        <f t="shared" si="55"/>
        <v>16000</v>
      </c>
      <c r="F155" s="155">
        <f t="shared" si="56"/>
        <v>16000</v>
      </c>
      <c r="G155" s="155">
        <f t="shared" si="57"/>
        <v>16000</v>
      </c>
      <c r="H155" s="157">
        <f>'zał 18'!H17+'zał 19'!H17</f>
        <v>0</v>
      </c>
      <c r="I155" s="157">
        <f>'zał 18'!I17+'zał 19'!I17</f>
        <v>16000</v>
      </c>
      <c r="J155" s="157"/>
      <c r="K155" s="157"/>
      <c r="L155" s="157"/>
      <c r="M155" s="157"/>
      <c r="N155" s="157"/>
      <c r="O155" s="157"/>
      <c r="P155" s="157"/>
      <c r="Q155" s="157"/>
      <c r="R155" s="157"/>
    </row>
    <row r="156" spans="1:18" ht="22.5" customHeight="1">
      <c r="A156" s="154"/>
      <c r="B156" s="154"/>
      <c r="C156" s="154">
        <v>4280</v>
      </c>
      <c r="D156" s="153" t="s">
        <v>278</v>
      </c>
      <c r="E156" s="155">
        <f t="shared" si="55"/>
        <v>1700</v>
      </c>
      <c r="F156" s="155">
        <f t="shared" si="56"/>
        <v>1700</v>
      </c>
      <c r="G156" s="155">
        <f t="shared" si="57"/>
        <v>1700</v>
      </c>
      <c r="H156" s="157">
        <f>'zał 18'!H18+'zał 19'!H18</f>
        <v>0</v>
      </c>
      <c r="I156" s="157">
        <f>'zał 18'!I18+'zał 19'!I18</f>
        <v>1700</v>
      </c>
      <c r="J156" s="157"/>
      <c r="K156" s="157"/>
      <c r="L156" s="157"/>
      <c r="M156" s="157"/>
      <c r="N156" s="157"/>
      <c r="O156" s="157"/>
      <c r="P156" s="157"/>
      <c r="Q156" s="157"/>
      <c r="R156" s="157"/>
    </row>
    <row r="157" spans="1:18" ht="22.5" customHeight="1">
      <c r="A157" s="154"/>
      <c r="B157" s="154"/>
      <c r="C157" s="154">
        <v>4300</v>
      </c>
      <c r="D157" s="153" t="s">
        <v>287</v>
      </c>
      <c r="E157" s="155">
        <f t="shared" si="55"/>
        <v>38244</v>
      </c>
      <c r="F157" s="155">
        <f t="shared" si="56"/>
        <v>38244</v>
      </c>
      <c r="G157" s="155">
        <f t="shared" si="57"/>
        <v>38244</v>
      </c>
      <c r="H157" s="157">
        <f>'zał 18'!H19+'zał 19'!H19</f>
        <v>0</v>
      </c>
      <c r="I157" s="157">
        <f>'zał 18'!I19+'zał 19'!I19</f>
        <v>38244</v>
      </c>
      <c r="J157" s="157"/>
      <c r="K157" s="157"/>
      <c r="L157" s="157"/>
      <c r="M157" s="157"/>
      <c r="N157" s="157"/>
      <c r="O157" s="157"/>
      <c r="P157" s="157"/>
      <c r="Q157" s="157"/>
      <c r="R157" s="157"/>
    </row>
    <row r="158" spans="1:18" ht="22.5" customHeight="1">
      <c r="A158" s="154"/>
      <c r="B158" s="154"/>
      <c r="C158" s="154">
        <v>4350</v>
      </c>
      <c r="D158" s="153" t="s">
        <v>288</v>
      </c>
      <c r="E158" s="155">
        <f t="shared" si="55"/>
        <v>2510</v>
      </c>
      <c r="F158" s="155">
        <f t="shared" si="56"/>
        <v>2510</v>
      </c>
      <c r="G158" s="155">
        <f t="shared" si="57"/>
        <v>2510</v>
      </c>
      <c r="H158" s="157">
        <f>'zał 18'!H20+'zał 19'!H20</f>
        <v>0</v>
      </c>
      <c r="I158" s="157">
        <f>'zał 18'!I20+'zał 19'!I20</f>
        <v>2510</v>
      </c>
      <c r="J158" s="157"/>
      <c r="K158" s="157"/>
      <c r="L158" s="157"/>
      <c r="M158" s="157"/>
      <c r="N158" s="157"/>
      <c r="O158" s="157"/>
      <c r="P158" s="157"/>
      <c r="Q158" s="157"/>
      <c r="R158" s="157"/>
    </row>
    <row r="159" spans="1:18" ht="36.75" customHeight="1">
      <c r="A159" s="154"/>
      <c r="B159" s="154"/>
      <c r="C159" s="154">
        <v>4370</v>
      </c>
      <c r="D159" s="153" t="s">
        <v>289</v>
      </c>
      <c r="E159" s="155">
        <f t="shared" si="55"/>
        <v>5400</v>
      </c>
      <c r="F159" s="155">
        <f t="shared" si="56"/>
        <v>5400</v>
      </c>
      <c r="G159" s="155">
        <f t="shared" si="57"/>
        <v>5400</v>
      </c>
      <c r="H159" s="157">
        <f>'zał 18'!H21+'zał 19'!H21</f>
        <v>0</v>
      </c>
      <c r="I159" s="157">
        <f>'zał 18'!I21+'zał 19'!I21</f>
        <v>5400</v>
      </c>
      <c r="J159" s="157"/>
      <c r="K159" s="157"/>
      <c r="L159" s="157"/>
      <c r="M159" s="157"/>
      <c r="N159" s="157"/>
      <c r="O159" s="157"/>
      <c r="P159" s="157"/>
      <c r="Q159" s="157"/>
      <c r="R159" s="157"/>
    </row>
    <row r="160" spans="1:18" ht="22.5" customHeight="1">
      <c r="A160" s="154"/>
      <c r="B160" s="154"/>
      <c r="C160" s="154">
        <v>4410</v>
      </c>
      <c r="D160" s="153" t="s">
        <v>290</v>
      </c>
      <c r="E160" s="155">
        <f t="shared" si="55"/>
        <v>1200</v>
      </c>
      <c r="F160" s="155">
        <f t="shared" si="56"/>
        <v>1200</v>
      </c>
      <c r="G160" s="155">
        <f t="shared" si="57"/>
        <v>1200</v>
      </c>
      <c r="H160" s="157">
        <f>'zał 18'!H22+'zał 19'!H22</f>
        <v>0</v>
      </c>
      <c r="I160" s="157">
        <f>'zał 18'!I22+'zał 19'!I22</f>
        <v>1200</v>
      </c>
      <c r="J160" s="157"/>
      <c r="K160" s="157"/>
      <c r="L160" s="157"/>
      <c r="M160" s="157"/>
      <c r="N160" s="157"/>
      <c r="O160" s="157"/>
      <c r="P160" s="157"/>
      <c r="Q160" s="157"/>
      <c r="R160" s="157"/>
    </row>
    <row r="161" spans="1:18" ht="22.5" customHeight="1">
      <c r="A161" s="154"/>
      <c r="B161" s="154"/>
      <c r="C161" s="154">
        <v>4430</v>
      </c>
      <c r="D161" s="153" t="s">
        <v>291</v>
      </c>
      <c r="E161" s="155">
        <f t="shared" si="55"/>
        <v>2236</v>
      </c>
      <c r="F161" s="155">
        <f t="shared" si="56"/>
        <v>2236</v>
      </c>
      <c r="G161" s="155">
        <f t="shared" si="57"/>
        <v>2236</v>
      </c>
      <c r="H161" s="157">
        <f>'zał 18'!H23+'zał 19'!H23</f>
        <v>0</v>
      </c>
      <c r="I161" s="157">
        <f>'zał 18'!I23+'zał 19'!I23</f>
        <v>2236</v>
      </c>
      <c r="J161" s="157"/>
      <c r="K161" s="157"/>
      <c r="L161" s="157"/>
      <c r="M161" s="157"/>
      <c r="N161" s="157"/>
      <c r="O161" s="157"/>
      <c r="P161" s="157"/>
      <c r="Q161" s="157"/>
      <c r="R161" s="157"/>
    </row>
    <row r="162" spans="1:18" ht="22.5" customHeight="1">
      <c r="A162" s="154"/>
      <c r="B162" s="154"/>
      <c r="C162" s="154">
        <v>4440</v>
      </c>
      <c r="D162" s="153" t="s">
        <v>240</v>
      </c>
      <c r="E162" s="155">
        <f t="shared" si="55"/>
        <v>125708</v>
      </c>
      <c r="F162" s="155">
        <f t="shared" si="56"/>
        <v>125708</v>
      </c>
      <c r="G162" s="155">
        <f t="shared" si="57"/>
        <v>125708</v>
      </c>
      <c r="H162" s="157">
        <f>'zał 18'!H24+'zał 19'!H24</f>
        <v>0</v>
      </c>
      <c r="I162" s="157">
        <f>'zał 18'!I24+'zał 19'!I24</f>
        <v>125708</v>
      </c>
      <c r="J162" s="157"/>
      <c r="K162" s="157"/>
      <c r="L162" s="157"/>
      <c r="M162" s="157"/>
      <c r="N162" s="157"/>
      <c r="O162" s="157"/>
      <c r="P162" s="157"/>
      <c r="Q162" s="157"/>
      <c r="R162" s="157"/>
    </row>
    <row r="163" spans="1:18" ht="36.75" customHeight="1">
      <c r="A163" s="154"/>
      <c r="B163" s="154"/>
      <c r="C163" s="154">
        <v>4700</v>
      </c>
      <c r="D163" s="179" t="s">
        <v>292</v>
      </c>
      <c r="E163" s="155">
        <f t="shared" si="55"/>
        <v>2700</v>
      </c>
      <c r="F163" s="155">
        <f t="shared" si="56"/>
        <v>2700</v>
      </c>
      <c r="G163" s="155">
        <f t="shared" si="57"/>
        <v>2700</v>
      </c>
      <c r="H163" s="157">
        <f>'zał 18'!H25+'zał 19'!H25</f>
        <v>0</v>
      </c>
      <c r="I163" s="157">
        <f>'zał 18'!I25+'zał 19'!I25</f>
        <v>2700</v>
      </c>
      <c r="J163" s="157"/>
      <c r="K163" s="157"/>
      <c r="L163" s="157"/>
      <c r="M163" s="157"/>
      <c r="N163" s="157"/>
      <c r="O163" s="157"/>
      <c r="P163" s="157"/>
      <c r="Q163" s="157"/>
      <c r="R163" s="157"/>
    </row>
    <row r="164" spans="1:18" ht="22.5" customHeight="1">
      <c r="A164" s="150"/>
      <c r="B164" s="150">
        <v>80110</v>
      </c>
      <c r="C164" s="150"/>
      <c r="D164" s="161" t="s">
        <v>125</v>
      </c>
      <c r="E164" s="152">
        <f aca="true" t="shared" si="58" ref="E164:R164">SUM(E165:E183)</f>
        <v>5536559</v>
      </c>
      <c r="F164" s="152">
        <f t="shared" si="58"/>
        <v>5536559</v>
      </c>
      <c r="G164" s="152">
        <f t="shared" si="58"/>
        <v>5517136</v>
      </c>
      <c r="H164" s="152">
        <f t="shared" si="58"/>
        <v>4508519</v>
      </c>
      <c r="I164" s="152">
        <f t="shared" si="58"/>
        <v>1008617</v>
      </c>
      <c r="J164" s="152">
        <f t="shared" si="58"/>
        <v>0</v>
      </c>
      <c r="K164" s="152">
        <f t="shared" si="58"/>
        <v>19423</v>
      </c>
      <c r="L164" s="152">
        <f t="shared" si="58"/>
        <v>0</v>
      </c>
      <c r="M164" s="152">
        <f t="shared" si="58"/>
        <v>0</v>
      </c>
      <c r="N164" s="152">
        <f t="shared" si="58"/>
        <v>0</v>
      </c>
      <c r="O164" s="152">
        <f t="shared" si="58"/>
        <v>0</v>
      </c>
      <c r="P164" s="152">
        <f t="shared" si="58"/>
        <v>0</v>
      </c>
      <c r="Q164" s="152">
        <f t="shared" si="58"/>
        <v>0</v>
      </c>
      <c r="R164" s="152">
        <f t="shared" si="58"/>
        <v>0</v>
      </c>
    </row>
    <row r="165" spans="1:18" ht="22.5" customHeight="1">
      <c r="A165" s="154"/>
      <c r="B165" s="154"/>
      <c r="C165" s="154">
        <v>3020</v>
      </c>
      <c r="D165" s="153" t="s">
        <v>293</v>
      </c>
      <c r="E165" s="155">
        <f>F165+O165</f>
        <v>19423</v>
      </c>
      <c r="F165" s="155">
        <f>G165+K165+L165+J165+N165+M165</f>
        <v>19423</v>
      </c>
      <c r="G165" s="155">
        <f aca="true" t="shared" si="59" ref="G165:G183">H165+I165</f>
        <v>0</v>
      </c>
      <c r="H165" s="157">
        <f>'zał 20'!H9+'zał 21'!H9+'zał 22'!H9</f>
        <v>0</v>
      </c>
      <c r="I165" s="157">
        <f>'zał 20'!I9+'zał 21'!I9+'zał 22'!I9</f>
        <v>0</v>
      </c>
      <c r="J165" s="157">
        <f>'zał 20'!J9+'zał 21'!J9+'zał 22'!J9</f>
        <v>0</v>
      </c>
      <c r="K165" s="157">
        <f>'zał 20'!K9+'zał 21'!K9+'zał 22'!K9</f>
        <v>19423</v>
      </c>
      <c r="L165" s="157"/>
      <c r="M165" s="157"/>
      <c r="N165" s="157"/>
      <c r="O165" s="157"/>
      <c r="P165" s="157"/>
      <c r="Q165" s="157"/>
      <c r="R165" s="157"/>
    </row>
    <row r="166" spans="1:18" ht="22.5" customHeight="1">
      <c r="A166" s="154"/>
      <c r="B166" s="154"/>
      <c r="C166" s="154">
        <v>3240</v>
      </c>
      <c r="D166" s="180" t="s">
        <v>294</v>
      </c>
      <c r="E166" s="155">
        <f>F166+O166</f>
        <v>0</v>
      </c>
      <c r="F166" s="155">
        <f>G166+K166+L166+J166+N166+M166</f>
        <v>0</v>
      </c>
      <c r="G166" s="155">
        <f t="shared" si="59"/>
        <v>0</v>
      </c>
      <c r="H166" s="157">
        <f>'zał 20'!H10+'zał 21'!H10+'zał 22'!H10</f>
        <v>0</v>
      </c>
      <c r="I166" s="157">
        <f>'zał 20'!I10+'zał 21'!I10+'zał 22'!I10</f>
        <v>0</v>
      </c>
      <c r="J166" s="181"/>
      <c r="K166" s="181"/>
      <c r="L166" s="157"/>
      <c r="M166" s="157"/>
      <c r="N166" s="157"/>
      <c r="O166" s="157"/>
      <c r="P166" s="157"/>
      <c r="Q166" s="157"/>
      <c r="R166" s="157"/>
    </row>
    <row r="167" spans="1:18" ht="22.5" customHeight="1">
      <c r="A167" s="154"/>
      <c r="B167" s="154"/>
      <c r="C167" s="154">
        <v>4010</v>
      </c>
      <c r="D167" s="153" t="s">
        <v>224</v>
      </c>
      <c r="E167" s="155">
        <f>F167+O167</f>
        <v>3467639</v>
      </c>
      <c r="F167" s="155">
        <f>G167+K167+L167+J167+N167+M167</f>
        <v>3467639</v>
      </c>
      <c r="G167" s="155">
        <f t="shared" si="59"/>
        <v>3467639</v>
      </c>
      <c r="H167" s="157">
        <f>'zał 20'!H11+'zał 21'!H11+'zał 22'!H11</f>
        <v>3467639</v>
      </c>
      <c r="I167" s="157">
        <f>'zał 20'!I11+'zał 21'!I11+'zał 22'!I11</f>
        <v>0</v>
      </c>
      <c r="J167" s="157"/>
      <c r="K167" s="157"/>
      <c r="L167" s="157"/>
      <c r="M167" s="157"/>
      <c r="N167" s="157"/>
      <c r="O167" s="157"/>
      <c r="P167" s="157"/>
      <c r="Q167" s="157"/>
      <c r="R167" s="157"/>
    </row>
    <row r="168" spans="1:18" ht="22.5" customHeight="1">
      <c r="A168" s="154"/>
      <c r="B168" s="154"/>
      <c r="C168" s="154">
        <v>4040</v>
      </c>
      <c r="D168" s="153" t="s">
        <v>225</v>
      </c>
      <c r="E168" s="155">
        <f>F168+P168</f>
        <v>317506</v>
      </c>
      <c r="F168" s="155">
        <f>G168+J168+K168+L168+M168+N168</f>
        <v>317506</v>
      </c>
      <c r="G168" s="155">
        <f t="shared" si="59"/>
        <v>317506</v>
      </c>
      <c r="H168" s="157">
        <f>'zał 20'!H12+'zał 21'!H12+'zał 22'!H12</f>
        <v>317506</v>
      </c>
      <c r="I168" s="157">
        <f>'zał 20'!I12+'zał 21'!I12+'zał 22'!I12</f>
        <v>0</v>
      </c>
      <c r="J168" s="157"/>
      <c r="K168" s="157"/>
      <c r="L168" s="157"/>
      <c r="M168" s="157"/>
      <c r="N168" s="157"/>
      <c r="O168" s="157"/>
      <c r="P168" s="157"/>
      <c r="Q168" s="157"/>
      <c r="R168" s="157"/>
    </row>
    <row r="169" spans="1:18" ht="22.5" customHeight="1">
      <c r="A169" s="154"/>
      <c r="B169" s="154"/>
      <c r="C169" s="154">
        <v>4110</v>
      </c>
      <c r="D169" s="153" t="s">
        <v>226</v>
      </c>
      <c r="E169" s="155">
        <f aca="true" t="shared" si="60" ref="E169:E183">F169+O169</f>
        <v>601838</v>
      </c>
      <c r="F169" s="155">
        <f aca="true" t="shared" si="61" ref="F169:F183">G169+K169+L169+J169+N169+M169</f>
        <v>601838</v>
      </c>
      <c r="G169" s="155">
        <f t="shared" si="59"/>
        <v>601838</v>
      </c>
      <c r="H169" s="157">
        <f>'zał 20'!H13+'zał 21'!H13+'zał 22'!H13</f>
        <v>601838</v>
      </c>
      <c r="I169" s="157">
        <f>'zał 20'!I13+'zał 21'!I13+'zał 22'!I13</f>
        <v>0</v>
      </c>
      <c r="J169" s="157"/>
      <c r="K169" s="157"/>
      <c r="L169" s="157"/>
      <c r="M169" s="157"/>
      <c r="N169" s="157"/>
      <c r="O169" s="157"/>
      <c r="P169" s="157"/>
      <c r="Q169" s="157"/>
      <c r="R169" s="157"/>
    </row>
    <row r="170" spans="1:18" ht="22.5" customHeight="1">
      <c r="A170" s="154"/>
      <c r="B170" s="154"/>
      <c r="C170" s="154">
        <v>4120</v>
      </c>
      <c r="D170" s="153" t="s">
        <v>227</v>
      </c>
      <c r="E170" s="155">
        <f t="shared" si="60"/>
        <v>92736</v>
      </c>
      <c r="F170" s="155">
        <f t="shared" si="61"/>
        <v>92736</v>
      </c>
      <c r="G170" s="155">
        <f t="shared" si="59"/>
        <v>92736</v>
      </c>
      <c r="H170" s="157">
        <f>'zał 20'!H14+'zał 21'!H14+'zał 22'!H14</f>
        <v>92736</v>
      </c>
      <c r="I170" s="157">
        <f>'zał 20'!I14+'zał 21'!I14+'zał 22'!I14</f>
        <v>0</v>
      </c>
      <c r="J170" s="157"/>
      <c r="K170" s="157"/>
      <c r="L170" s="157"/>
      <c r="M170" s="157"/>
      <c r="N170" s="157"/>
      <c r="O170" s="157"/>
      <c r="P170" s="157"/>
      <c r="Q170" s="157"/>
      <c r="R170" s="157"/>
    </row>
    <row r="171" spans="1:18" ht="22.5" customHeight="1">
      <c r="A171" s="154"/>
      <c r="B171" s="154"/>
      <c r="C171" s="154">
        <v>4170</v>
      </c>
      <c r="D171" s="153" t="s">
        <v>229</v>
      </c>
      <c r="E171" s="155">
        <f t="shared" si="60"/>
        <v>28800</v>
      </c>
      <c r="F171" s="155">
        <f t="shared" si="61"/>
        <v>28800</v>
      </c>
      <c r="G171" s="155">
        <f t="shared" si="59"/>
        <v>28800</v>
      </c>
      <c r="H171" s="157">
        <f>'zał 20'!H15+'zał 21'!H15+'zał 22'!H15</f>
        <v>28800</v>
      </c>
      <c r="I171" s="157">
        <f>'zał 20'!I15+'zał 21'!I15+'zał 22'!I15</f>
        <v>0</v>
      </c>
      <c r="J171" s="157"/>
      <c r="K171" s="157"/>
      <c r="L171" s="157"/>
      <c r="M171" s="157"/>
      <c r="N171" s="157"/>
      <c r="O171" s="157"/>
      <c r="P171" s="157"/>
      <c r="Q171" s="157"/>
      <c r="R171" s="157"/>
    </row>
    <row r="172" spans="1:18" ht="22.5" customHeight="1">
      <c r="A172" s="154"/>
      <c r="B172" s="154"/>
      <c r="C172" s="154">
        <v>4210</v>
      </c>
      <c r="D172" s="153" t="s">
        <v>209</v>
      </c>
      <c r="E172" s="155">
        <f t="shared" si="60"/>
        <v>69302</v>
      </c>
      <c r="F172" s="155">
        <f t="shared" si="61"/>
        <v>69302</v>
      </c>
      <c r="G172" s="155">
        <f t="shared" si="59"/>
        <v>69302</v>
      </c>
      <c r="H172" s="157">
        <f>'zał 20'!H16+'zał 21'!H16+'zał 22'!H16</f>
        <v>0</v>
      </c>
      <c r="I172" s="157">
        <f>'zał 20'!I16+'zał 21'!I16+'zał 22'!I16</f>
        <v>69302</v>
      </c>
      <c r="J172" s="157"/>
      <c r="K172" s="157"/>
      <c r="L172" s="157"/>
      <c r="M172" s="157"/>
      <c r="N172" s="157"/>
      <c r="O172" s="157"/>
      <c r="P172" s="157"/>
      <c r="Q172" s="157"/>
      <c r="R172" s="157"/>
    </row>
    <row r="173" spans="1:18" ht="36.75" customHeight="1">
      <c r="A173" s="154"/>
      <c r="B173" s="154"/>
      <c r="C173" s="154">
        <v>4240</v>
      </c>
      <c r="D173" s="153" t="s">
        <v>277</v>
      </c>
      <c r="E173" s="155">
        <f t="shared" si="60"/>
        <v>21400</v>
      </c>
      <c r="F173" s="155">
        <f t="shared" si="61"/>
        <v>21400</v>
      </c>
      <c r="G173" s="155">
        <f t="shared" si="59"/>
        <v>21400</v>
      </c>
      <c r="H173" s="157">
        <f>'zał 20'!H17+'zał 21'!H17+'zał 22'!H17</f>
        <v>0</v>
      </c>
      <c r="I173" s="157">
        <f>'zał 20'!I17+'zał 21'!I17+'zał 22'!I17</f>
        <v>21400</v>
      </c>
      <c r="J173" s="157"/>
      <c r="K173" s="157"/>
      <c r="L173" s="157"/>
      <c r="M173" s="157"/>
      <c r="N173" s="157"/>
      <c r="O173" s="157"/>
      <c r="P173" s="157"/>
      <c r="Q173" s="157"/>
      <c r="R173" s="157"/>
    </row>
    <row r="174" spans="1:18" ht="22.5" customHeight="1">
      <c r="A174" s="154"/>
      <c r="B174" s="154"/>
      <c r="C174" s="154">
        <v>4260</v>
      </c>
      <c r="D174" s="153" t="s">
        <v>267</v>
      </c>
      <c r="E174" s="155">
        <f t="shared" si="60"/>
        <v>484000</v>
      </c>
      <c r="F174" s="155">
        <f t="shared" si="61"/>
        <v>484000</v>
      </c>
      <c r="G174" s="155">
        <f t="shared" si="59"/>
        <v>484000</v>
      </c>
      <c r="H174" s="157">
        <f>'zał 20'!H18+'zał 21'!H18+'zał 22'!H18</f>
        <v>0</v>
      </c>
      <c r="I174" s="157">
        <f>'zał 20'!I18+'zał 21'!I18+'zał 22'!I18</f>
        <v>484000</v>
      </c>
      <c r="J174" s="157"/>
      <c r="K174" s="157"/>
      <c r="L174" s="157"/>
      <c r="M174" s="157"/>
      <c r="N174" s="157"/>
      <c r="O174" s="157"/>
      <c r="P174" s="157"/>
      <c r="Q174" s="157"/>
      <c r="R174" s="157"/>
    </row>
    <row r="175" spans="1:18" ht="22.5" customHeight="1">
      <c r="A175" s="154"/>
      <c r="B175" s="154"/>
      <c r="C175" s="154">
        <v>4270</v>
      </c>
      <c r="D175" s="153" t="s">
        <v>212</v>
      </c>
      <c r="E175" s="155">
        <f t="shared" si="60"/>
        <v>20000</v>
      </c>
      <c r="F175" s="155">
        <f t="shared" si="61"/>
        <v>20000</v>
      </c>
      <c r="G175" s="155">
        <f t="shared" si="59"/>
        <v>20000</v>
      </c>
      <c r="H175" s="157">
        <f>'zał 20'!H19+'zał 21'!H19+'zał 22'!H19</f>
        <v>0</v>
      </c>
      <c r="I175" s="157">
        <f>'zał 20'!I19+'zał 21'!I19+'zał 22'!I19</f>
        <v>20000</v>
      </c>
      <c r="J175" s="157"/>
      <c r="K175" s="157"/>
      <c r="L175" s="157"/>
      <c r="M175" s="157"/>
      <c r="N175" s="157"/>
      <c r="O175" s="157"/>
      <c r="P175" s="157"/>
      <c r="Q175" s="157"/>
      <c r="R175" s="157"/>
    </row>
    <row r="176" spans="1:18" ht="22.5" customHeight="1">
      <c r="A176" s="154"/>
      <c r="B176" s="154"/>
      <c r="C176" s="154">
        <v>4280</v>
      </c>
      <c r="D176" s="153" t="s">
        <v>268</v>
      </c>
      <c r="E176" s="155">
        <f t="shared" si="60"/>
        <v>900</v>
      </c>
      <c r="F176" s="155">
        <f t="shared" si="61"/>
        <v>900</v>
      </c>
      <c r="G176" s="155">
        <f t="shared" si="59"/>
        <v>900</v>
      </c>
      <c r="H176" s="157">
        <f>'zał 20'!H20+'zał 21'!H20+'zał 22'!H20</f>
        <v>0</v>
      </c>
      <c r="I176" s="157">
        <f>'zał 20'!I20+'zał 21'!I20+'zał 22'!I20</f>
        <v>900</v>
      </c>
      <c r="J176" s="157"/>
      <c r="K176" s="157"/>
      <c r="L176" s="157"/>
      <c r="M176" s="157"/>
      <c r="N176" s="157"/>
      <c r="O176" s="157"/>
      <c r="P176" s="157"/>
      <c r="Q176" s="157"/>
      <c r="R176" s="157"/>
    </row>
    <row r="177" spans="1:18" ht="22.5" customHeight="1">
      <c r="A177" s="154"/>
      <c r="B177" s="154"/>
      <c r="C177" s="154">
        <v>4300</v>
      </c>
      <c r="D177" s="153" t="s">
        <v>205</v>
      </c>
      <c r="E177" s="155">
        <f t="shared" si="60"/>
        <v>182102</v>
      </c>
      <c r="F177" s="155">
        <f t="shared" si="61"/>
        <v>182102</v>
      </c>
      <c r="G177" s="155">
        <f t="shared" si="59"/>
        <v>182102</v>
      </c>
      <c r="H177" s="157">
        <f>'zał 20'!H21+'zał 21'!H21+'zał 22'!H21</f>
        <v>0</v>
      </c>
      <c r="I177" s="157">
        <f>'zał 20'!I21+'zał 21'!I21+'zał 22'!I21</f>
        <v>182102</v>
      </c>
      <c r="J177" s="157"/>
      <c r="K177" s="157"/>
      <c r="L177" s="157"/>
      <c r="M177" s="157"/>
      <c r="N177" s="157"/>
      <c r="O177" s="157"/>
      <c r="P177" s="157"/>
      <c r="Q177" s="157"/>
      <c r="R177" s="157"/>
    </row>
    <row r="178" spans="1:18" ht="22.5" customHeight="1">
      <c r="A178" s="154"/>
      <c r="B178" s="154"/>
      <c r="C178" s="154">
        <v>4350</v>
      </c>
      <c r="D178" s="153" t="s">
        <v>234</v>
      </c>
      <c r="E178" s="155">
        <f t="shared" si="60"/>
        <v>3500</v>
      </c>
      <c r="F178" s="155">
        <f t="shared" si="61"/>
        <v>3500</v>
      </c>
      <c r="G178" s="155">
        <f t="shared" si="59"/>
        <v>3500</v>
      </c>
      <c r="H178" s="157">
        <f>'zał 20'!H22+'zał 21'!H22+'zał 22'!H22</f>
        <v>0</v>
      </c>
      <c r="I178" s="157">
        <f>'zał 20'!I22+'zał 21'!I22+'zał 22'!I22</f>
        <v>3500</v>
      </c>
      <c r="J178" s="157"/>
      <c r="K178" s="157"/>
      <c r="L178" s="157"/>
      <c r="M178" s="157"/>
      <c r="N178" s="157"/>
      <c r="O178" s="157"/>
      <c r="P178" s="157"/>
      <c r="Q178" s="157"/>
      <c r="R178" s="157"/>
    </row>
    <row r="179" spans="1:18" ht="36.75" customHeight="1">
      <c r="A179" s="154"/>
      <c r="B179" s="154"/>
      <c r="C179" s="154">
        <v>4370</v>
      </c>
      <c r="D179" s="153" t="s">
        <v>289</v>
      </c>
      <c r="E179" s="155">
        <f t="shared" si="60"/>
        <v>7944</v>
      </c>
      <c r="F179" s="155">
        <f t="shared" si="61"/>
        <v>7944</v>
      </c>
      <c r="G179" s="155">
        <f t="shared" si="59"/>
        <v>7944</v>
      </c>
      <c r="H179" s="157">
        <f>'zał 20'!H23+'zał 21'!H23+'zał 22'!H23</f>
        <v>0</v>
      </c>
      <c r="I179" s="157">
        <f>'zał 20'!I23+'zał 21'!I23+'zał 22'!I23</f>
        <v>7944</v>
      </c>
      <c r="J179" s="157"/>
      <c r="K179" s="157"/>
      <c r="L179" s="157"/>
      <c r="M179" s="157"/>
      <c r="N179" s="157"/>
      <c r="O179" s="157"/>
      <c r="P179" s="157"/>
      <c r="Q179" s="157"/>
      <c r="R179" s="157"/>
    </row>
    <row r="180" spans="1:18" ht="22.5" customHeight="1">
      <c r="A180" s="154"/>
      <c r="B180" s="154"/>
      <c r="C180" s="154">
        <v>4410</v>
      </c>
      <c r="D180" s="153" t="s">
        <v>238</v>
      </c>
      <c r="E180" s="155">
        <f t="shared" si="60"/>
        <v>2400</v>
      </c>
      <c r="F180" s="155">
        <f t="shared" si="61"/>
        <v>2400</v>
      </c>
      <c r="G180" s="155">
        <f t="shared" si="59"/>
        <v>2400</v>
      </c>
      <c r="H180" s="157">
        <f>'zał 20'!H24+'zał 21'!H24+'zał 22'!H24</f>
        <v>0</v>
      </c>
      <c r="I180" s="157">
        <f>'zał 20'!I24+'zał 21'!I24+'zał 22'!I24</f>
        <v>2400</v>
      </c>
      <c r="J180" s="157"/>
      <c r="K180" s="157"/>
      <c r="L180" s="157"/>
      <c r="M180" s="157"/>
      <c r="N180" s="157"/>
      <c r="O180" s="157"/>
      <c r="P180" s="157"/>
      <c r="Q180" s="157"/>
      <c r="R180" s="157"/>
    </row>
    <row r="181" spans="1:18" ht="22.5" customHeight="1">
      <c r="A181" s="154"/>
      <c r="B181" s="154"/>
      <c r="C181" s="154">
        <v>4430</v>
      </c>
      <c r="D181" s="153" t="s">
        <v>270</v>
      </c>
      <c r="E181" s="155">
        <f t="shared" si="60"/>
        <v>6808</v>
      </c>
      <c r="F181" s="155">
        <f t="shared" si="61"/>
        <v>6808</v>
      </c>
      <c r="G181" s="155">
        <f t="shared" si="59"/>
        <v>6808</v>
      </c>
      <c r="H181" s="157">
        <f>'zał 20'!H25+'zał 21'!H25+'zał 22'!H25</f>
        <v>0</v>
      </c>
      <c r="I181" s="157">
        <f>'zał 20'!I25+'zał 21'!I25+'zał 22'!I25</f>
        <v>6808</v>
      </c>
      <c r="J181" s="157"/>
      <c r="K181" s="157"/>
      <c r="L181" s="157"/>
      <c r="M181" s="157"/>
      <c r="N181" s="157"/>
      <c r="O181" s="157"/>
      <c r="P181" s="157"/>
      <c r="Q181" s="157"/>
      <c r="R181" s="157"/>
    </row>
    <row r="182" spans="1:18" ht="36.75" customHeight="1">
      <c r="A182" s="154"/>
      <c r="B182" s="154"/>
      <c r="C182" s="154">
        <v>4440</v>
      </c>
      <c r="D182" s="153" t="s">
        <v>271</v>
      </c>
      <c r="E182" s="155">
        <f t="shared" si="60"/>
        <v>207261</v>
      </c>
      <c r="F182" s="155">
        <f t="shared" si="61"/>
        <v>207261</v>
      </c>
      <c r="G182" s="155">
        <f t="shared" si="59"/>
        <v>207261</v>
      </c>
      <c r="H182" s="157">
        <f>'zał 20'!H26+'zał 21'!H26+'zał 22'!H26</f>
        <v>0</v>
      </c>
      <c r="I182" s="157">
        <f>'zał 20'!I26+'zał 21'!I26+'zał 22'!I26</f>
        <v>207261</v>
      </c>
      <c r="J182" s="157"/>
      <c r="K182" s="157"/>
      <c r="L182" s="157"/>
      <c r="M182" s="157"/>
      <c r="N182" s="157"/>
      <c r="O182" s="157"/>
      <c r="P182" s="157"/>
      <c r="Q182" s="157"/>
      <c r="R182" s="157"/>
    </row>
    <row r="183" spans="1:18" ht="36.75" customHeight="1">
      <c r="A183" s="154"/>
      <c r="B183" s="154"/>
      <c r="C183" s="154">
        <v>4700</v>
      </c>
      <c r="D183" s="153" t="s">
        <v>242</v>
      </c>
      <c r="E183" s="155">
        <f t="shared" si="60"/>
        <v>3000</v>
      </c>
      <c r="F183" s="155">
        <f t="shared" si="61"/>
        <v>3000</v>
      </c>
      <c r="G183" s="155">
        <f t="shared" si="59"/>
        <v>3000</v>
      </c>
      <c r="H183" s="157">
        <f>'zał 20'!H27+'zał 21'!H27+'zał 22'!H27</f>
        <v>0</v>
      </c>
      <c r="I183" s="157">
        <f>'zał 20'!I27+'zał 21'!I27+'zał 22'!I27</f>
        <v>3000</v>
      </c>
      <c r="J183" s="157"/>
      <c r="K183" s="157"/>
      <c r="L183" s="157"/>
      <c r="M183" s="157"/>
      <c r="N183" s="157"/>
      <c r="O183" s="157"/>
      <c r="P183" s="157"/>
      <c r="Q183" s="157"/>
      <c r="R183" s="157"/>
    </row>
    <row r="184" spans="1:18" ht="22.5" customHeight="1">
      <c r="A184" s="150"/>
      <c r="B184" s="150">
        <v>80113</v>
      </c>
      <c r="C184" s="150"/>
      <c r="D184" s="161" t="s">
        <v>295</v>
      </c>
      <c r="E184" s="152">
        <f aca="true" t="shared" si="62" ref="E184:R184">SUM(E185:E198)</f>
        <v>736027</v>
      </c>
      <c r="F184" s="152">
        <f t="shared" si="62"/>
        <v>736027</v>
      </c>
      <c r="G184" s="152">
        <f t="shared" si="62"/>
        <v>735027</v>
      </c>
      <c r="H184" s="152">
        <f t="shared" si="62"/>
        <v>103117</v>
      </c>
      <c r="I184" s="152">
        <f t="shared" si="62"/>
        <v>631910</v>
      </c>
      <c r="J184" s="152">
        <f t="shared" si="62"/>
        <v>0</v>
      </c>
      <c r="K184" s="152">
        <f t="shared" si="62"/>
        <v>1000</v>
      </c>
      <c r="L184" s="152">
        <f t="shared" si="62"/>
        <v>0</v>
      </c>
      <c r="M184" s="152">
        <f t="shared" si="62"/>
        <v>0</v>
      </c>
      <c r="N184" s="152">
        <f t="shared" si="62"/>
        <v>0</v>
      </c>
      <c r="O184" s="152">
        <f t="shared" si="62"/>
        <v>0</v>
      </c>
      <c r="P184" s="152">
        <f t="shared" si="62"/>
        <v>0</v>
      </c>
      <c r="Q184" s="152">
        <f t="shared" si="62"/>
        <v>0</v>
      </c>
      <c r="R184" s="152">
        <f t="shared" si="62"/>
        <v>0</v>
      </c>
    </row>
    <row r="185" spans="1:18" ht="22.5" customHeight="1">
      <c r="A185" s="154"/>
      <c r="B185" s="154"/>
      <c r="C185" s="154">
        <v>3020</v>
      </c>
      <c r="D185" s="153" t="s">
        <v>296</v>
      </c>
      <c r="E185" s="155">
        <f aca="true" t="shared" si="63" ref="E185:E198">F185+O185</f>
        <v>1000</v>
      </c>
      <c r="F185" s="155">
        <f aca="true" t="shared" si="64" ref="F185:F198">G185+K185+L185+J185+N185+M185</f>
        <v>1000</v>
      </c>
      <c r="G185" s="155">
        <f aca="true" t="shared" si="65" ref="G185:G198">H185+I185</f>
        <v>0</v>
      </c>
      <c r="H185" s="156"/>
      <c r="I185" s="156"/>
      <c r="J185" s="156"/>
      <c r="K185" s="157">
        <v>1000</v>
      </c>
      <c r="L185" s="156"/>
      <c r="M185" s="156"/>
      <c r="N185" s="159"/>
      <c r="O185" s="156"/>
      <c r="P185" s="156"/>
      <c r="Q185" s="156"/>
      <c r="R185" s="156"/>
    </row>
    <row r="186" spans="1:18" ht="22.5" customHeight="1">
      <c r="A186" s="154"/>
      <c r="B186" s="154"/>
      <c r="C186" s="154">
        <v>4010</v>
      </c>
      <c r="D186" s="153" t="s">
        <v>224</v>
      </c>
      <c r="E186" s="155">
        <f t="shared" si="63"/>
        <v>69658</v>
      </c>
      <c r="F186" s="155">
        <f t="shared" si="64"/>
        <v>69658</v>
      </c>
      <c r="G186" s="155">
        <f t="shared" si="65"/>
        <v>69658</v>
      </c>
      <c r="H186" s="157">
        <v>69658</v>
      </c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</row>
    <row r="187" spans="1:18" ht="22.5" customHeight="1">
      <c r="A187" s="154"/>
      <c r="B187" s="154"/>
      <c r="C187" s="154">
        <v>4040</v>
      </c>
      <c r="D187" s="153" t="s">
        <v>225</v>
      </c>
      <c r="E187" s="155">
        <f t="shared" si="63"/>
        <v>8007.000000000001</v>
      </c>
      <c r="F187" s="155">
        <f t="shared" si="64"/>
        <v>8007.000000000001</v>
      </c>
      <c r="G187" s="155">
        <f t="shared" si="65"/>
        <v>8007.000000000001</v>
      </c>
      <c r="H187" s="157">
        <f>94200*0.085</f>
        <v>8007.000000000001</v>
      </c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</row>
    <row r="188" spans="1:18" ht="22.5" customHeight="1">
      <c r="A188" s="154"/>
      <c r="B188" s="154"/>
      <c r="C188" s="154">
        <v>4110</v>
      </c>
      <c r="D188" s="153" t="s">
        <v>226</v>
      </c>
      <c r="E188" s="155">
        <f t="shared" si="63"/>
        <v>12349</v>
      </c>
      <c r="F188" s="155">
        <f t="shared" si="64"/>
        <v>12349</v>
      </c>
      <c r="G188" s="155">
        <f t="shared" si="65"/>
        <v>12349</v>
      </c>
      <c r="H188" s="181">
        <v>12349</v>
      </c>
      <c r="I188" s="157"/>
      <c r="J188" s="157"/>
      <c r="K188" s="157"/>
      <c r="L188" s="157"/>
      <c r="M188" s="156"/>
      <c r="N188" s="156"/>
      <c r="O188" s="156"/>
      <c r="P188" s="156"/>
      <c r="Q188" s="156"/>
      <c r="R188" s="156"/>
    </row>
    <row r="189" spans="1:18" ht="22.5" customHeight="1">
      <c r="A189" s="154"/>
      <c r="B189" s="154"/>
      <c r="C189" s="154">
        <v>4120</v>
      </c>
      <c r="D189" s="153" t="s">
        <v>227</v>
      </c>
      <c r="E189" s="155">
        <f t="shared" si="63"/>
        <v>1903</v>
      </c>
      <c r="F189" s="155">
        <f t="shared" si="64"/>
        <v>1903</v>
      </c>
      <c r="G189" s="155">
        <f t="shared" si="65"/>
        <v>1903</v>
      </c>
      <c r="H189" s="181">
        <v>1903</v>
      </c>
      <c r="I189" s="157"/>
      <c r="J189" s="157"/>
      <c r="K189" s="157"/>
      <c r="L189" s="157"/>
      <c r="M189" s="156"/>
      <c r="N189" s="156"/>
      <c r="O189" s="156"/>
      <c r="P189" s="156"/>
      <c r="Q189" s="156"/>
      <c r="R189" s="156"/>
    </row>
    <row r="190" spans="1:18" ht="22.5" customHeight="1">
      <c r="A190" s="154"/>
      <c r="B190" s="154"/>
      <c r="C190" s="154">
        <v>4170</v>
      </c>
      <c r="D190" s="153" t="s">
        <v>229</v>
      </c>
      <c r="E190" s="155">
        <f t="shared" si="63"/>
        <v>11200</v>
      </c>
      <c r="F190" s="155">
        <f t="shared" si="64"/>
        <v>11200</v>
      </c>
      <c r="G190" s="155">
        <f t="shared" si="65"/>
        <v>11200</v>
      </c>
      <c r="H190" s="157">
        <f>280*4*10</f>
        <v>11200</v>
      </c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</row>
    <row r="191" spans="1:18" ht="22.5" customHeight="1">
      <c r="A191" s="154"/>
      <c r="B191" s="154"/>
      <c r="C191" s="154">
        <v>4210</v>
      </c>
      <c r="D191" s="153" t="s">
        <v>209</v>
      </c>
      <c r="E191" s="155">
        <f t="shared" si="63"/>
        <v>76600</v>
      </c>
      <c r="F191" s="155">
        <f t="shared" si="64"/>
        <v>76600</v>
      </c>
      <c r="G191" s="155">
        <f t="shared" si="65"/>
        <v>76600</v>
      </c>
      <c r="H191" s="156"/>
      <c r="I191" s="157">
        <v>76600</v>
      </c>
      <c r="J191" s="156"/>
      <c r="K191" s="156"/>
      <c r="L191" s="156"/>
      <c r="M191" s="156"/>
      <c r="N191" s="156"/>
      <c r="O191" s="156"/>
      <c r="P191" s="156"/>
      <c r="Q191" s="156"/>
      <c r="R191" s="156"/>
    </row>
    <row r="192" spans="1:18" ht="22.5" customHeight="1">
      <c r="A192" s="154"/>
      <c r="B192" s="154"/>
      <c r="C192" s="154">
        <v>4270</v>
      </c>
      <c r="D192" s="153" t="s">
        <v>212</v>
      </c>
      <c r="E192" s="155">
        <f t="shared" si="63"/>
        <v>44000</v>
      </c>
      <c r="F192" s="155">
        <f t="shared" si="64"/>
        <v>44000</v>
      </c>
      <c r="G192" s="155">
        <f t="shared" si="65"/>
        <v>44000</v>
      </c>
      <c r="H192" s="156"/>
      <c r="I192" s="157">
        <v>44000</v>
      </c>
      <c r="J192" s="156"/>
      <c r="K192" s="156"/>
      <c r="L192" s="156"/>
      <c r="M192" s="156"/>
      <c r="N192" s="156"/>
      <c r="O192" s="156"/>
      <c r="P192" s="156"/>
      <c r="Q192" s="156"/>
      <c r="R192" s="156"/>
    </row>
    <row r="193" spans="1:18" ht="22.5" customHeight="1">
      <c r="A193" s="154"/>
      <c r="B193" s="154"/>
      <c r="C193" s="154">
        <v>4280</v>
      </c>
      <c r="D193" s="153" t="s">
        <v>268</v>
      </c>
      <c r="E193" s="155">
        <f t="shared" si="63"/>
        <v>210</v>
      </c>
      <c r="F193" s="155">
        <f t="shared" si="64"/>
        <v>210</v>
      </c>
      <c r="G193" s="155">
        <f t="shared" si="65"/>
        <v>210</v>
      </c>
      <c r="H193" s="156"/>
      <c r="I193" s="157">
        <v>210</v>
      </c>
      <c r="J193" s="156"/>
      <c r="K193" s="156"/>
      <c r="L193" s="156"/>
      <c r="M193" s="156"/>
      <c r="N193" s="156"/>
      <c r="O193" s="156"/>
      <c r="P193" s="156"/>
      <c r="Q193" s="156"/>
      <c r="R193" s="156"/>
    </row>
    <row r="194" spans="1:18" ht="22.5" customHeight="1">
      <c r="A194" s="154"/>
      <c r="B194" s="154"/>
      <c r="C194" s="154">
        <v>4300</v>
      </c>
      <c r="D194" s="153" t="s">
        <v>205</v>
      </c>
      <c r="E194" s="155">
        <f t="shared" si="63"/>
        <v>495000</v>
      </c>
      <c r="F194" s="155">
        <f t="shared" si="64"/>
        <v>495000</v>
      </c>
      <c r="G194" s="155">
        <f t="shared" si="65"/>
        <v>495000</v>
      </c>
      <c r="H194" s="156"/>
      <c r="I194" s="157">
        <f>495000</f>
        <v>495000</v>
      </c>
      <c r="J194" s="156"/>
      <c r="K194" s="156"/>
      <c r="L194" s="156"/>
      <c r="M194" s="156"/>
      <c r="N194" s="156"/>
      <c r="O194" s="156"/>
      <c r="P194" s="156"/>
      <c r="Q194" s="156"/>
      <c r="R194" s="156"/>
    </row>
    <row r="195" spans="1:18" ht="36.75" customHeight="1">
      <c r="A195" s="154"/>
      <c r="B195" s="154"/>
      <c r="C195" s="154">
        <v>4360</v>
      </c>
      <c r="D195" s="153" t="s">
        <v>297</v>
      </c>
      <c r="E195" s="155">
        <f t="shared" si="63"/>
        <v>1200</v>
      </c>
      <c r="F195" s="155">
        <f t="shared" si="64"/>
        <v>1200</v>
      </c>
      <c r="G195" s="155">
        <f t="shared" si="65"/>
        <v>1200</v>
      </c>
      <c r="H195" s="156"/>
      <c r="I195" s="157">
        <v>1200</v>
      </c>
      <c r="J195" s="156"/>
      <c r="K195" s="156"/>
      <c r="L195" s="156"/>
      <c r="M195" s="156"/>
      <c r="N195" s="156"/>
      <c r="O195" s="156"/>
      <c r="P195" s="156"/>
      <c r="Q195" s="156"/>
      <c r="R195" s="156"/>
    </row>
    <row r="196" spans="1:18" ht="22.5" customHeight="1">
      <c r="A196" s="154"/>
      <c r="B196" s="154"/>
      <c r="C196" s="154">
        <v>4430</v>
      </c>
      <c r="D196" s="153" t="s">
        <v>214</v>
      </c>
      <c r="E196" s="155">
        <f t="shared" si="63"/>
        <v>9400</v>
      </c>
      <c r="F196" s="155">
        <f t="shared" si="64"/>
        <v>9400</v>
      </c>
      <c r="G196" s="155">
        <f t="shared" si="65"/>
        <v>9400</v>
      </c>
      <c r="H196" s="156"/>
      <c r="I196" s="157">
        <v>9400</v>
      </c>
      <c r="J196" s="156"/>
      <c r="K196" s="156"/>
      <c r="L196" s="156"/>
      <c r="M196" s="156"/>
      <c r="N196" s="156"/>
      <c r="O196" s="156"/>
      <c r="P196" s="156"/>
      <c r="Q196" s="156"/>
      <c r="R196" s="156"/>
    </row>
    <row r="197" spans="1:18" ht="36.75" customHeight="1">
      <c r="A197" s="154"/>
      <c r="B197" s="154"/>
      <c r="C197" s="154">
        <v>4440</v>
      </c>
      <c r="D197" s="153" t="s">
        <v>271</v>
      </c>
      <c r="E197" s="155">
        <f t="shared" si="63"/>
        <v>3000</v>
      </c>
      <c r="F197" s="155">
        <f t="shared" si="64"/>
        <v>3000</v>
      </c>
      <c r="G197" s="155">
        <f t="shared" si="65"/>
        <v>3000</v>
      </c>
      <c r="H197" s="156"/>
      <c r="I197" s="157">
        <v>3000</v>
      </c>
      <c r="J197" s="156"/>
      <c r="K197" s="156"/>
      <c r="L197" s="156"/>
      <c r="M197" s="156"/>
      <c r="N197" s="156"/>
      <c r="O197" s="156"/>
      <c r="P197" s="156"/>
      <c r="Q197" s="156"/>
      <c r="R197" s="156"/>
    </row>
    <row r="198" spans="1:18" ht="22.5" customHeight="1">
      <c r="A198" s="154"/>
      <c r="B198" s="154"/>
      <c r="C198" s="154">
        <v>4500</v>
      </c>
      <c r="D198" s="153" t="s">
        <v>298</v>
      </c>
      <c r="E198" s="155">
        <f t="shared" si="63"/>
        <v>2500</v>
      </c>
      <c r="F198" s="155">
        <f t="shared" si="64"/>
        <v>2500</v>
      </c>
      <c r="G198" s="155">
        <f t="shared" si="65"/>
        <v>2500</v>
      </c>
      <c r="H198" s="156"/>
      <c r="I198" s="157">
        <v>2500</v>
      </c>
      <c r="J198" s="156"/>
      <c r="K198" s="156"/>
      <c r="L198" s="156"/>
      <c r="M198" s="156"/>
      <c r="N198" s="156"/>
      <c r="O198" s="156"/>
      <c r="P198" s="156"/>
      <c r="Q198" s="156"/>
      <c r="R198" s="156"/>
    </row>
    <row r="199" spans="1:18" ht="22.5" customHeight="1">
      <c r="A199" s="161"/>
      <c r="B199" s="150">
        <v>80146</v>
      </c>
      <c r="C199" s="150"/>
      <c r="D199" s="161" t="s">
        <v>299</v>
      </c>
      <c r="E199" s="152">
        <f aca="true" t="shared" si="66" ref="E199:R199">SUM(E200:E204)</f>
        <v>38090</v>
      </c>
      <c r="F199" s="152">
        <f t="shared" si="66"/>
        <v>38090</v>
      </c>
      <c r="G199" s="152">
        <f t="shared" si="66"/>
        <v>38090</v>
      </c>
      <c r="H199" s="152">
        <f t="shared" si="66"/>
        <v>0</v>
      </c>
      <c r="I199" s="152">
        <f t="shared" si="66"/>
        <v>38090</v>
      </c>
      <c r="J199" s="152">
        <f t="shared" si="66"/>
        <v>0</v>
      </c>
      <c r="K199" s="152">
        <f t="shared" si="66"/>
        <v>0</v>
      </c>
      <c r="L199" s="152">
        <f t="shared" si="66"/>
        <v>0</v>
      </c>
      <c r="M199" s="152">
        <f t="shared" si="66"/>
        <v>0</v>
      </c>
      <c r="N199" s="152">
        <f t="shared" si="66"/>
        <v>0</v>
      </c>
      <c r="O199" s="152">
        <f t="shared" si="66"/>
        <v>0</v>
      </c>
      <c r="P199" s="152">
        <f t="shared" si="66"/>
        <v>0</v>
      </c>
      <c r="Q199" s="152">
        <f t="shared" si="66"/>
        <v>0</v>
      </c>
      <c r="R199" s="152">
        <f t="shared" si="66"/>
        <v>0</v>
      </c>
    </row>
    <row r="200" spans="1:18" ht="22.5" customHeight="1">
      <c r="A200" s="153"/>
      <c r="B200" s="154"/>
      <c r="C200" s="154">
        <v>4210</v>
      </c>
      <c r="D200" s="153" t="s">
        <v>300</v>
      </c>
      <c r="E200" s="155">
        <f>F200+O200</f>
        <v>2200</v>
      </c>
      <c r="F200" s="155">
        <f>G200+K200+L200+J200+N200+M200</f>
        <v>2200</v>
      </c>
      <c r="G200" s="155">
        <f>H200+I200</f>
        <v>2200</v>
      </c>
      <c r="H200" s="157"/>
      <c r="I200" s="157">
        <f>'zał 15'!I41+'zał 16'!I41+'zał 17'!I41+'zał 18'!I27+'zał 19'!I27+'zał 20'!I30+'zał 21'!I30+'zał 22'!I30</f>
        <v>2200</v>
      </c>
      <c r="J200" s="157"/>
      <c r="K200" s="157"/>
      <c r="L200" s="157"/>
      <c r="M200" s="157"/>
      <c r="N200" s="157"/>
      <c r="O200" s="157"/>
      <c r="P200" s="157"/>
      <c r="Q200" s="157"/>
      <c r="R200" s="157"/>
    </row>
    <row r="201" spans="1:18" ht="22.5" customHeight="1">
      <c r="A201" s="153"/>
      <c r="B201" s="154"/>
      <c r="C201" s="182">
        <v>4240</v>
      </c>
      <c r="D201" s="177" t="s">
        <v>277</v>
      </c>
      <c r="E201" s="155">
        <f>F201+O201</f>
        <v>794</v>
      </c>
      <c r="F201" s="155">
        <f>G201+K201+L201+J201+N201+M201</f>
        <v>794</v>
      </c>
      <c r="G201" s="155">
        <f>H201+I201</f>
        <v>794</v>
      </c>
      <c r="H201" s="157"/>
      <c r="I201" s="157">
        <f>'zał 15'!I42+'zał 16'!I42+'zał 17'!I42+'zał 18'!I28+'zał 19'!I28+'zał 20'!I31+'zał 21'!I31+'zał 22'!I31</f>
        <v>794</v>
      </c>
      <c r="J201" s="157"/>
      <c r="K201" s="157"/>
      <c r="L201" s="157"/>
      <c r="M201" s="157"/>
      <c r="N201" s="157"/>
      <c r="O201" s="157"/>
      <c r="P201" s="157"/>
      <c r="Q201" s="157"/>
      <c r="R201" s="157"/>
    </row>
    <row r="202" spans="1:18" ht="22.5" customHeight="1">
      <c r="A202" s="153"/>
      <c r="B202" s="154"/>
      <c r="C202" s="154">
        <v>4300</v>
      </c>
      <c r="D202" s="153" t="s">
        <v>287</v>
      </c>
      <c r="E202" s="155">
        <f>F202+O202</f>
        <v>14290</v>
      </c>
      <c r="F202" s="155">
        <f>G202+K202+L202+J202+N202+M202</f>
        <v>14290</v>
      </c>
      <c r="G202" s="155">
        <f>H202+I202</f>
        <v>14290</v>
      </c>
      <c r="H202" s="157"/>
      <c r="I202" s="157">
        <f>'zał 15'!I43+'zał 16'!I43+'zał 17'!I43+'zał 18'!I29+'zał 19'!I29+'zał 20'!I32+'zał 21'!I32+'zał 22'!I32</f>
        <v>14290</v>
      </c>
      <c r="J202" s="157"/>
      <c r="K202" s="157"/>
      <c r="L202" s="157"/>
      <c r="M202" s="157"/>
      <c r="N202" s="157"/>
      <c r="O202" s="157"/>
      <c r="P202" s="157"/>
      <c r="Q202" s="157"/>
      <c r="R202" s="157"/>
    </row>
    <row r="203" spans="1:18" ht="22.5" customHeight="1">
      <c r="A203" s="153"/>
      <c r="B203" s="154"/>
      <c r="C203" s="154">
        <v>4410</v>
      </c>
      <c r="D203" s="153" t="s">
        <v>238</v>
      </c>
      <c r="E203" s="155">
        <f>F203+O203</f>
        <v>12106</v>
      </c>
      <c r="F203" s="155">
        <f>G203+K203+L203+J203+N203+M203</f>
        <v>12106</v>
      </c>
      <c r="G203" s="155">
        <f>H203+I203</f>
        <v>12106</v>
      </c>
      <c r="H203" s="157"/>
      <c r="I203" s="157">
        <f>'zał 15'!I44+'zał 16'!I44+'zał 17'!I44+'zał 18'!I30+'zał 19'!I30+'zał 20'!I33+'zał 21'!I33+'zał 22'!I33</f>
        <v>12106</v>
      </c>
      <c r="J203" s="157"/>
      <c r="K203" s="157"/>
      <c r="L203" s="157"/>
      <c r="M203" s="157"/>
      <c r="N203" s="157"/>
      <c r="O203" s="157"/>
      <c r="P203" s="157"/>
      <c r="Q203" s="157"/>
      <c r="R203" s="157"/>
    </row>
    <row r="204" spans="1:18" ht="36.75" customHeight="1">
      <c r="A204" s="153"/>
      <c r="B204" s="154"/>
      <c r="C204" s="182">
        <v>4700</v>
      </c>
      <c r="D204" s="177" t="s">
        <v>292</v>
      </c>
      <c r="E204" s="155">
        <f>F204+O204</f>
        <v>8700</v>
      </c>
      <c r="F204" s="155">
        <f>G204+K204+L204+J204+N204+M204</f>
        <v>8700</v>
      </c>
      <c r="G204" s="155">
        <f>H204+I204</f>
        <v>8700</v>
      </c>
      <c r="H204" s="157"/>
      <c r="I204" s="157">
        <f>'zał 15'!I45+'zał 16'!I45+'zał 17'!I45+'zał 18'!I31+'zał 19'!I31+'zał 20'!I34+'zał 21'!I34+'zał 22'!I34</f>
        <v>8700</v>
      </c>
      <c r="J204" s="157"/>
      <c r="K204" s="157"/>
      <c r="L204" s="157"/>
      <c r="M204" s="157"/>
      <c r="N204" s="157"/>
      <c r="O204" s="157"/>
      <c r="P204" s="157"/>
      <c r="Q204" s="157"/>
      <c r="R204" s="157"/>
    </row>
    <row r="205" spans="1:18" ht="22.5" customHeight="1">
      <c r="A205" s="183"/>
      <c r="B205" s="183">
        <v>80148</v>
      </c>
      <c r="C205" s="183"/>
      <c r="D205" s="184" t="s">
        <v>127</v>
      </c>
      <c r="E205" s="185">
        <f aca="true" t="shared" si="67" ref="E205:R205">SUM(E206:E218)</f>
        <v>1732623</v>
      </c>
      <c r="F205" s="185">
        <f t="shared" si="67"/>
        <v>1732623</v>
      </c>
      <c r="G205" s="185">
        <f t="shared" si="67"/>
        <v>1728823</v>
      </c>
      <c r="H205" s="185">
        <f t="shared" si="67"/>
        <v>610052</v>
      </c>
      <c r="I205" s="185">
        <f t="shared" si="67"/>
        <v>1118771</v>
      </c>
      <c r="J205" s="185">
        <f t="shared" si="67"/>
        <v>0</v>
      </c>
      <c r="K205" s="185">
        <f t="shared" si="67"/>
        <v>3800</v>
      </c>
      <c r="L205" s="185">
        <f t="shared" si="67"/>
        <v>0</v>
      </c>
      <c r="M205" s="185">
        <f t="shared" si="67"/>
        <v>0</v>
      </c>
      <c r="N205" s="185">
        <f t="shared" si="67"/>
        <v>0</v>
      </c>
      <c r="O205" s="185">
        <f t="shared" si="67"/>
        <v>0</v>
      </c>
      <c r="P205" s="185">
        <f t="shared" si="67"/>
        <v>0</v>
      </c>
      <c r="Q205" s="185">
        <f t="shared" si="67"/>
        <v>0</v>
      </c>
      <c r="R205" s="185">
        <f t="shared" si="67"/>
        <v>0</v>
      </c>
    </row>
    <row r="206" spans="1:18" ht="22.5" customHeight="1">
      <c r="A206" s="154"/>
      <c r="B206" s="154"/>
      <c r="C206" s="154">
        <v>3020</v>
      </c>
      <c r="D206" s="153" t="s">
        <v>223</v>
      </c>
      <c r="E206" s="155">
        <f aca="true" t="shared" si="68" ref="E206:E218">F206+O206</f>
        <v>3800</v>
      </c>
      <c r="F206" s="155">
        <f aca="true" t="shared" si="69" ref="F206:F218">G206+K206+L206+J206+N206+M206</f>
        <v>3800</v>
      </c>
      <c r="G206" s="155">
        <f aca="true" t="shared" si="70" ref="G206:G218">H206+I206</f>
        <v>0</v>
      </c>
      <c r="H206" s="157">
        <f>'zał 15'!H47+'zał 17'!H47+'zał 18'!H33+'zał 19'!H33+'zał 20'!H36+'zał 21'!H36</f>
        <v>0</v>
      </c>
      <c r="I206" s="157">
        <f>'zał 15'!I47+'zał 17'!I47+'zał 18'!I33+'zał 19'!I33+'zał 20'!I36+'zał 21'!I36</f>
        <v>0</v>
      </c>
      <c r="J206" s="157">
        <f>'zał 15'!J47+'zał 17'!J47+'zał 18'!J33+'zał 19'!J33+'zał 20'!J36+'zał 21'!J36</f>
        <v>0</v>
      </c>
      <c r="K206" s="157">
        <f>'zał 15'!K47+'zał 17'!K47+'zał 18'!K33+'zał 19'!K33+'zał 20'!K36+'zał 21'!K36</f>
        <v>3800</v>
      </c>
      <c r="L206" s="157"/>
      <c r="M206" s="157"/>
      <c r="N206" s="157"/>
      <c r="O206" s="157"/>
      <c r="P206" s="157"/>
      <c r="Q206" s="157"/>
      <c r="R206" s="157"/>
    </row>
    <row r="207" spans="1:18" ht="22.5" customHeight="1">
      <c r="A207" s="154"/>
      <c r="B207" s="154"/>
      <c r="C207" s="154">
        <v>4010</v>
      </c>
      <c r="D207" s="153" t="s">
        <v>224</v>
      </c>
      <c r="E207" s="155">
        <f t="shared" si="68"/>
        <v>471865</v>
      </c>
      <c r="F207" s="155">
        <f t="shared" si="69"/>
        <v>471865</v>
      </c>
      <c r="G207" s="155">
        <f t="shared" si="70"/>
        <v>471865</v>
      </c>
      <c r="H207" s="157">
        <f>'zał 15'!H48+'zał 17'!H48+'zał 18'!H34+'zał 19'!H34+'zał 20'!H37+'zał 21'!H37</f>
        <v>471865</v>
      </c>
      <c r="I207" s="157">
        <f>'zał 15'!I48+'zał 17'!I48+'zał 18'!I34+'zał 19'!I34+'zał 20'!I37+'zał 21'!I37</f>
        <v>0</v>
      </c>
      <c r="J207" s="157"/>
      <c r="K207" s="157"/>
      <c r="L207" s="157"/>
      <c r="M207" s="157"/>
      <c r="N207" s="157"/>
      <c r="O207" s="157"/>
      <c r="P207" s="157"/>
      <c r="Q207" s="157"/>
      <c r="R207" s="157"/>
    </row>
    <row r="208" spans="1:18" ht="22.5" customHeight="1">
      <c r="A208" s="154"/>
      <c r="B208" s="154"/>
      <c r="C208" s="154">
        <v>4040</v>
      </c>
      <c r="D208" s="153" t="s">
        <v>225</v>
      </c>
      <c r="E208" s="155">
        <f t="shared" si="68"/>
        <v>41653</v>
      </c>
      <c r="F208" s="155">
        <f t="shared" si="69"/>
        <v>41653</v>
      </c>
      <c r="G208" s="155">
        <f t="shared" si="70"/>
        <v>41653</v>
      </c>
      <c r="H208" s="157">
        <f>'zał 15'!H49+'zał 17'!H49+'zał 18'!H35+'zał 19'!H35+'zał 20'!H38+'zał 21'!H38</f>
        <v>41653</v>
      </c>
      <c r="I208" s="157">
        <f>'zał 15'!I49+'zał 17'!I49+'zał 18'!I35+'zał 19'!I35+'zał 20'!I38+'zał 21'!I38</f>
        <v>0</v>
      </c>
      <c r="J208" s="157"/>
      <c r="K208" s="157"/>
      <c r="L208" s="157"/>
      <c r="M208" s="157"/>
      <c r="N208" s="157"/>
      <c r="O208" s="157"/>
      <c r="P208" s="157"/>
      <c r="Q208" s="157"/>
      <c r="R208" s="157"/>
    </row>
    <row r="209" spans="1:18" ht="22.5" customHeight="1">
      <c r="A209" s="154"/>
      <c r="B209" s="154"/>
      <c r="C209" s="154">
        <v>4110</v>
      </c>
      <c r="D209" s="153" t="s">
        <v>226</v>
      </c>
      <c r="E209" s="155">
        <f t="shared" si="68"/>
        <v>83429</v>
      </c>
      <c r="F209" s="155">
        <f t="shared" si="69"/>
        <v>83429</v>
      </c>
      <c r="G209" s="155">
        <f t="shared" si="70"/>
        <v>83429</v>
      </c>
      <c r="H209" s="157">
        <f>'zał 15'!H50+'zał 17'!H50+'zał 18'!H36+'zał 19'!H36+'zał 20'!H39+'zał 21'!H39</f>
        <v>83429</v>
      </c>
      <c r="I209" s="157">
        <f>'zał 15'!I50+'zał 17'!I50+'zał 18'!I36+'zał 19'!I36+'zał 20'!I39+'zał 21'!I39</f>
        <v>0</v>
      </c>
      <c r="J209" s="157"/>
      <c r="K209" s="157"/>
      <c r="L209" s="157"/>
      <c r="M209" s="157"/>
      <c r="N209" s="157"/>
      <c r="O209" s="157"/>
      <c r="P209" s="157"/>
      <c r="Q209" s="157"/>
      <c r="R209" s="157"/>
    </row>
    <row r="210" spans="1:18" ht="22.5" customHeight="1">
      <c r="A210" s="154"/>
      <c r="B210" s="154"/>
      <c r="C210" s="154">
        <v>4120</v>
      </c>
      <c r="D210" s="153" t="s">
        <v>227</v>
      </c>
      <c r="E210" s="155">
        <f t="shared" si="68"/>
        <v>13105</v>
      </c>
      <c r="F210" s="155">
        <f t="shared" si="69"/>
        <v>13105</v>
      </c>
      <c r="G210" s="155">
        <f t="shared" si="70"/>
        <v>13105</v>
      </c>
      <c r="H210" s="157">
        <f>'zał 15'!H51+'zał 17'!H51+'zał 18'!H37+'zał 19'!H37+'zał 20'!H40+'zał 21'!H40</f>
        <v>13105</v>
      </c>
      <c r="I210" s="157">
        <f>'zał 15'!I51+'zał 17'!I51+'zał 18'!I37+'zał 19'!I37+'zał 20'!I40+'zał 21'!I40</f>
        <v>0</v>
      </c>
      <c r="J210" s="157"/>
      <c r="K210" s="157"/>
      <c r="L210" s="157"/>
      <c r="M210" s="157"/>
      <c r="N210" s="157"/>
      <c r="O210" s="157"/>
      <c r="P210" s="157"/>
      <c r="Q210" s="157"/>
      <c r="R210" s="157"/>
    </row>
    <row r="211" spans="1:18" ht="22.5" customHeight="1">
      <c r="A211" s="154"/>
      <c r="B211" s="154"/>
      <c r="C211" s="154">
        <v>4210</v>
      </c>
      <c r="D211" s="153" t="s">
        <v>209</v>
      </c>
      <c r="E211" s="155">
        <f t="shared" si="68"/>
        <v>44230</v>
      </c>
      <c r="F211" s="155">
        <f t="shared" si="69"/>
        <v>44230</v>
      </c>
      <c r="G211" s="155">
        <f t="shared" si="70"/>
        <v>44230</v>
      </c>
      <c r="H211" s="157">
        <f>'zał 15'!H52+'zał 17'!H52+'zał 18'!H38+'zał 19'!H38+'zał 20'!H41+'zał 21'!H41</f>
        <v>0</v>
      </c>
      <c r="I211" s="157">
        <f>'zał 15'!I52+'zał 17'!I52+'zał 18'!I38+'zał 19'!I38+'zał 20'!I41+'zał 21'!I41</f>
        <v>44230</v>
      </c>
      <c r="J211" s="157"/>
      <c r="K211" s="157"/>
      <c r="L211" s="157"/>
      <c r="M211" s="157"/>
      <c r="N211" s="157"/>
      <c r="O211" s="157"/>
      <c r="P211" s="157"/>
      <c r="Q211" s="157"/>
      <c r="R211" s="157"/>
    </row>
    <row r="212" spans="1:18" ht="22.5" customHeight="1">
      <c r="A212" s="154"/>
      <c r="B212" s="154"/>
      <c r="C212" s="154">
        <v>4220</v>
      </c>
      <c r="D212" s="153" t="s">
        <v>301</v>
      </c>
      <c r="E212" s="155">
        <f t="shared" si="68"/>
        <v>1036244</v>
      </c>
      <c r="F212" s="155">
        <f t="shared" si="69"/>
        <v>1036244</v>
      </c>
      <c r="G212" s="155">
        <f t="shared" si="70"/>
        <v>1036244</v>
      </c>
      <c r="H212" s="157">
        <f>'zał 15'!H53+'zał 17'!H53+'zał 18'!H39+'zał 19'!H39+'zał 20'!H42+'zał 21'!H42</f>
        <v>0</v>
      </c>
      <c r="I212" s="157">
        <f>'zał 15'!I53+'zał 17'!I53+'zał 18'!I39+'zał 19'!I39+'zał 20'!I42+'zał 21'!I42</f>
        <v>1036244</v>
      </c>
      <c r="J212" s="156"/>
      <c r="K212" s="156"/>
      <c r="L212" s="156"/>
      <c r="M212" s="156"/>
      <c r="N212" s="156"/>
      <c r="O212" s="156"/>
      <c r="P212" s="156"/>
      <c r="Q212" s="156"/>
      <c r="R212" s="156"/>
    </row>
    <row r="213" spans="1:18" ht="22.5" customHeight="1">
      <c r="A213" s="154"/>
      <c r="B213" s="154"/>
      <c r="C213" s="154">
        <v>4270</v>
      </c>
      <c r="D213" s="153" t="s">
        <v>212</v>
      </c>
      <c r="E213" s="155">
        <f t="shared" si="68"/>
        <v>12100</v>
      </c>
      <c r="F213" s="155">
        <f t="shared" si="69"/>
        <v>12100</v>
      </c>
      <c r="G213" s="155">
        <f t="shared" si="70"/>
        <v>12100</v>
      </c>
      <c r="H213" s="157">
        <f>'zał 15'!H54+'zał 17'!H54+'zał 18'!H40+'zał 19'!H40+'zał 20'!H43+'zał 21'!H43</f>
        <v>0</v>
      </c>
      <c r="I213" s="157">
        <f>'zał 15'!I54+'zał 17'!I54+'zał 18'!I40+'zał 19'!I40+'zał 20'!I43+'zał 21'!I43</f>
        <v>12100</v>
      </c>
      <c r="J213" s="157"/>
      <c r="K213" s="157"/>
      <c r="L213" s="157"/>
      <c r="M213" s="157"/>
      <c r="N213" s="157"/>
      <c r="O213" s="157"/>
      <c r="P213" s="157"/>
      <c r="Q213" s="157"/>
      <c r="R213" s="157"/>
    </row>
    <row r="214" spans="1:18" ht="22.5" customHeight="1">
      <c r="A214" s="154"/>
      <c r="B214" s="154"/>
      <c r="C214" s="154">
        <v>4280</v>
      </c>
      <c r="D214" s="153" t="s">
        <v>268</v>
      </c>
      <c r="E214" s="155">
        <f t="shared" si="68"/>
        <v>700</v>
      </c>
      <c r="F214" s="155">
        <f t="shared" si="69"/>
        <v>700</v>
      </c>
      <c r="G214" s="155">
        <f t="shared" si="70"/>
        <v>700</v>
      </c>
      <c r="H214" s="157">
        <f>'zał 15'!H55+'zał 17'!H55+'zał 18'!H41+'zał 19'!H41+'zał 20'!H44+'zał 21'!H44</f>
        <v>0</v>
      </c>
      <c r="I214" s="157">
        <f>'zał 15'!I55+'zał 17'!I55+'zał 18'!I41+'zał 19'!I41+'zał 20'!I44+'zał 21'!I44</f>
        <v>700</v>
      </c>
      <c r="J214" s="157"/>
      <c r="K214" s="157"/>
      <c r="L214" s="157"/>
      <c r="M214" s="157"/>
      <c r="N214" s="157"/>
      <c r="O214" s="157"/>
      <c r="P214" s="157"/>
      <c r="Q214" s="157"/>
      <c r="R214" s="157"/>
    </row>
    <row r="215" spans="1:256" s="186" customFormat="1" ht="22.5" customHeight="1">
      <c r="A215" s="154"/>
      <c r="B215" s="154"/>
      <c r="C215" s="154">
        <v>4300</v>
      </c>
      <c r="D215" s="153" t="s">
        <v>205</v>
      </c>
      <c r="E215" s="155">
        <f t="shared" si="68"/>
        <v>1970</v>
      </c>
      <c r="F215" s="155">
        <f t="shared" si="69"/>
        <v>1970</v>
      </c>
      <c r="G215" s="155">
        <f t="shared" si="70"/>
        <v>1970</v>
      </c>
      <c r="H215" s="157">
        <f>'zał 15'!H56+'zał 17'!H56+'zał 18'!H42+'zał 19'!H42+'zał 20'!H45+'zał 21'!H45</f>
        <v>0</v>
      </c>
      <c r="I215" s="157">
        <f>'zał 15'!I56+'zał 17'!I56+'zał 18'!I42+'zał 19'!I42+'zał 20'!I45+'zał 21'!I45</f>
        <v>1970</v>
      </c>
      <c r="J215" s="157"/>
      <c r="K215" s="157"/>
      <c r="L215" s="157"/>
      <c r="M215" s="157"/>
      <c r="N215" s="157"/>
      <c r="O215" s="157"/>
      <c r="P215" s="157"/>
      <c r="Q215" s="157"/>
      <c r="R215" s="157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IU215" s="134"/>
      <c r="IV215" s="134"/>
    </row>
    <row r="216" spans="1:256" s="186" customFormat="1" ht="22.5" customHeight="1">
      <c r="A216" s="154"/>
      <c r="B216" s="154"/>
      <c r="C216" s="176">
        <v>4410</v>
      </c>
      <c r="D216" s="177" t="s">
        <v>290</v>
      </c>
      <c r="E216" s="155">
        <f t="shared" si="68"/>
        <v>1000</v>
      </c>
      <c r="F216" s="155">
        <f t="shared" si="69"/>
        <v>1000</v>
      </c>
      <c r="G216" s="155">
        <f t="shared" si="70"/>
        <v>1000</v>
      </c>
      <c r="H216" s="157">
        <f>'zał 15'!H57+'zał 17'!H57+'zał 18'!H43+'zał 19'!H43+'zał 20'!H46+'zał 21'!H46</f>
        <v>0</v>
      </c>
      <c r="I216" s="157">
        <f>'zał 15'!I57+'zał 17'!I57+'zał 18'!I43+'zał 19'!I43+'zał 20'!I46+'zał 21'!I46</f>
        <v>1000</v>
      </c>
      <c r="J216" s="157"/>
      <c r="K216" s="157"/>
      <c r="L216" s="157"/>
      <c r="M216" s="157"/>
      <c r="N216" s="157"/>
      <c r="O216" s="157"/>
      <c r="P216" s="157"/>
      <c r="Q216" s="157"/>
      <c r="R216" s="157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IU216" s="134"/>
      <c r="IV216" s="134"/>
    </row>
    <row r="217" spans="1:256" s="186" customFormat="1" ht="22.5" customHeight="1">
      <c r="A217" s="154"/>
      <c r="B217" s="154"/>
      <c r="C217" s="154">
        <v>4440</v>
      </c>
      <c r="D217" s="153" t="s">
        <v>240</v>
      </c>
      <c r="E217" s="155">
        <f t="shared" si="68"/>
        <v>20027</v>
      </c>
      <c r="F217" s="155">
        <f t="shared" si="69"/>
        <v>20027</v>
      </c>
      <c r="G217" s="155">
        <f t="shared" si="70"/>
        <v>20027</v>
      </c>
      <c r="H217" s="157">
        <f>'zał 15'!H58+'zał 17'!H58+'zał 18'!H44+'zał 19'!H44+'zał 20'!H47+'zał 21'!H47</f>
        <v>0</v>
      </c>
      <c r="I217" s="157">
        <f>'zał 15'!I58+'zał 17'!I58+'zał 18'!I44+'zał 19'!I44+'zał 20'!I47+'zał 21'!I47</f>
        <v>20027</v>
      </c>
      <c r="J217" s="157"/>
      <c r="K217" s="157"/>
      <c r="L217" s="157"/>
      <c r="M217" s="157"/>
      <c r="N217" s="157"/>
      <c r="O217" s="157"/>
      <c r="P217" s="157"/>
      <c r="Q217" s="157"/>
      <c r="R217" s="157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IU217" s="134"/>
      <c r="IV217" s="134"/>
    </row>
    <row r="218" spans="1:256" s="186" customFormat="1" ht="36.75" customHeight="1">
      <c r="A218" s="154"/>
      <c r="B218" s="154"/>
      <c r="C218" s="182">
        <v>4700</v>
      </c>
      <c r="D218" s="177" t="s">
        <v>292</v>
      </c>
      <c r="E218" s="155">
        <f t="shared" si="68"/>
        <v>2500</v>
      </c>
      <c r="F218" s="155">
        <f t="shared" si="69"/>
        <v>2500</v>
      </c>
      <c r="G218" s="155">
        <f t="shared" si="70"/>
        <v>2500</v>
      </c>
      <c r="H218" s="157">
        <f>'zał 15'!H59+'zał 17'!H59+'zał 18'!H45+'zał 19'!H45+'zał 20'!H48+'zał 21'!H48</f>
        <v>0</v>
      </c>
      <c r="I218" s="157">
        <f>'zał 15'!I59+'zał 17'!I59+'zał 18'!I45+'zał 19'!I45+'zał 20'!I48+'zał 21'!I48</f>
        <v>2500</v>
      </c>
      <c r="J218" s="157"/>
      <c r="K218" s="157"/>
      <c r="L218" s="157"/>
      <c r="M218" s="157"/>
      <c r="N218" s="157"/>
      <c r="O218" s="157"/>
      <c r="P218" s="157"/>
      <c r="Q218" s="157"/>
      <c r="R218" s="157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IU218" s="134"/>
      <c r="IV218" s="134"/>
    </row>
    <row r="219" spans="1:18" s="190" customFormat="1" ht="22.5" customHeight="1">
      <c r="A219" s="187"/>
      <c r="B219" s="188">
        <v>80195</v>
      </c>
      <c r="C219" s="187"/>
      <c r="D219" s="189" t="s">
        <v>30</v>
      </c>
      <c r="E219" s="152">
        <f aca="true" t="shared" si="71" ref="E219:R219">SUM(E220:E233)</f>
        <v>828142.46</v>
      </c>
      <c r="F219" s="152">
        <f t="shared" si="71"/>
        <v>828142.46</v>
      </c>
      <c r="G219" s="152">
        <f t="shared" si="71"/>
        <v>825142.46</v>
      </c>
      <c r="H219" s="152">
        <f t="shared" si="71"/>
        <v>278162.2</v>
      </c>
      <c r="I219" s="152">
        <f t="shared" si="71"/>
        <v>546980.26</v>
      </c>
      <c r="J219" s="152">
        <f t="shared" si="71"/>
        <v>3000</v>
      </c>
      <c r="K219" s="152">
        <f t="shared" si="71"/>
        <v>0</v>
      </c>
      <c r="L219" s="152">
        <f t="shared" si="71"/>
        <v>668554.46</v>
      </c>
      <c r="M219" s="152">
        <f t="shared" si="71"/>
        <v>0</v>
      </c>
      <c r="N219" s="152">
        <f t="shared" si="71"/>
        <v>0</v>
      </c>
      <c r="O219" s="152">
        <f t="shared" si="71"/>
        <v>0</v>
      </c>
      <c r="P219" s="152">
        <f t="shared" si="71"/>
        <v>0</v>
      </c>
      <c r="Q219" s="152">
        <f t="shared" si="71"/>
        <v>0</v>
      </c>
      <c r="R219" s="152">
        <f t="shared" si="71"/>
        <v>0</v>
      </c>
    </row>
    <row r="220" spans="1:18" s="190" customFormat="1" ht="54" customHeight="1">
      <c r="A220" s="191"/>
      <c r="B220" s="191"/>
      <c r="C220" s="192">
        <v>2820</v>
      </c>
      <c r="D220" s="193" t="s">
        <v>302</v>
      </c>
      <c r="E220" s="155">
        <f aca="true" t="shared" si="72" ref="E220:E233">F220+O220</f>
        <v>3000</v>
      </c>
      <c r="F220" s="155">
        <f>G220+K220+L220+J220+N220+M220</f>
        <v>3000</v>
      </c>
      <c r="G220" s="155">
        <f aca="true" t="shared" si="73" ref="G220:G233">H220+I220</f>
        <v>0</v>
      </c>
      <c r="H220" s="156"/>
      <c r="I220" s="156"/>
      <c r="J220" s="157">
        <f>'zał 26'!E5</f>
        <v>3000</v>
      </c>
      <c r="K220" s="156"/>
      <c r="L220" s="156"/>
      <c r="M220" s="158"/>
      <c r="N220" s="157"/>
      <c r="O220" s="157"/>
      <c r="P220" s="156"/>
      <c r="Q220" s="156"/>
      <c r="R220" s="156"/>
    </row>
    <row r="221" spans="1:18" s="190" customFormat="1" ht="20.25">
      <c r="A221" s="194"/>
      <c r="B221" s="194"/>
      <c r="C221" s="195">
        <v>4117</v>
      </c>
      <c r="D221" s="196" t="s">
        <v>284</v>
      </c>
      <c r="E221" s="155">
        <f t="shared" si="72"/>
        <v>4014.86</v>
      </c>
      <c r="F221" s="155">
        <f aca="true" t="shared" si="74" ref="F221:F226">G221+K221+J221+N221+M221</f>
        <v>4014.86</v>
      </c>
      <c r="G221" s="155">
        <f t="shared" si="73"/>
        <v>4014.86</v>
      </c>
      <c r="H221" s="197">
        <f aca="true" t="shared" si="75" ref="H221:H226">L221</f>
        <v>4014.86</v>
      </c>
      <c r="I221" s="181"/>
      <c r="J221" s="157"/>
      <c r="K221" s="156"/>
      <c r="L221" s="156">
        <f>4014.86</f>
        <v>4014.86</v>
      </c>
      <c r="M221" s="158"/>
      <c r="N221" s="157"/>
      <c r="O221" s="157"/>
      <c r="P221" s="156"/>
      <c r="Q221" s="156"/>
      <c r="R221" s="156"/>
    </row>
    <row r="222" spans="1:18" s="190" customFormat="1" ht="20.25">
      <c r="A222" s="194"/>
      <c r="B222" s="194"/>
      <c r="C222" s="195">
        <v>4119</v>
      </c>
      <c r="D222" s="196" t="s">
        <v>284</v>
      </c>
      <c r="E222" s="155">
        <f t="shared" si="72"/>
        <v>708.5300000000002</v>
      </c>
      <c r="F222" s="155">
        <f t="shared" si="74"/>
        <v>708.5300000000002</v>
      </c>
      <c r="G222" s="155">
        <f t="shared" si="73"/>
        <v>708.5300000000002</v>
      </c>
      <c r="H222" s="197">
        <f t="shared" si="75"/>
        <v>708.5300000000002</v>
      </c>
      <c r="I222" s="181"/>
      <c r="J222" s="157"/>
      <c r="K222" s="156"/>
      <c r="L222" s="156">
        <f>4723.39-L221</f>
        <v>708.5300000000002</v>
      </c>
      <c r="M222" s="158"/>
      <c r="N222" s="157"/>
      <c r="O222" s="157"/>
      <c r="P222" s="156"/>
      <c r="Q222" s="156"/>
      <c r="R222" s="156"/>
    </row>
    <row r="223" spans="1:18" s="190" customFormat="1" ht="20.25">
      <c r="A223" s="194"/>
      <c r="B223" s="194"/>
      <c r="C223" s="195">
        <v>4127</v>
      </c>
      <c r="D223" s="196" t="s">
        <v>285</v>
      </c>
      <c r="E223" s="155">
        <f t="shared" si="72"/>
        <v>651.37</v>
      </c>
      <c r="F223" s="155">
        <f t="shared" si="74"/>
        <v>651.37</v>
      </c>
      <c r="G223" s="155">
        <f t="shared" si="73"/>
        <v>651.37</v>
      </c>
      <c r="H223" s="197">
        <f t="shared" si="75"/>
        <v>651.37</v>
      </c>
      <c r="I223" s="181"/>
      <c r="J223" s="157"/>
      <c r="K223" s="156"/>
      <c r="L223" s="156">
        <v>651.37</v>
      </c>
      <c r="M223" s="158"/>
      <c r="N223" s="157"/>
      <c r="O223" s="157"/>
      <c r="P223" s="156"/>
      <c r="Q223" s="156"/>
      <c r="R223" s="156"/>
    </row>
    <row r="224" spans="1:18" s="190" customFormat="1" ht="20.25">
      <c r="A224" s="194"/>
      <c r="B224" s="194"/>
      <c r="C224" s="195">
        <v>4129</v>
      </c>
      <c r="D224" s="196" t="s">
        <v>285</v>
      </c>
      <c r="E224" s="155">
        <f t="shared" si="72"/>
        <v>114.95000000000005</v>
      </c>
      <c r="F224" s="155">
        <f t="shared" si="74"/>
        <v>114.95000000000005</v>
      </c>
      <c r="G224" s="155">
        <f t="shared" si="73"/>
        <v>114.95000000000005</v>
      </c>
      <c r="H224" s="197">
        <f t="shared" si="75"/>
        <v>114.95000000000005</v>
      </c>
      <c r="I224" s="181"/>
      <c r="J224" s="157"/>
      <c r="K224" s="156"/>
      <c r="L224" s="156">
        <f>766.32-L223</f>
        <v>114.95000000000005</v>
      </c>
      <c r="M224" s="158"/>
      <c r="N224" s="157"/>
      <c r="O224" s="157"/>
      <c r="P224" s="156"/>
      <c r="Q224" s="156"/>
      <c r="R224" s="156"/>
    </row>
    <row r="225" spans="1:18" s="190" customFormat="1" ht="20.25">
      <c r="A225" s="194"/>
      <c r="B225" s="194"/>
      <c r="C225" s="195">
        <v>4177</v>
      </c>
      <c r="D225" s="196" t="s">
        <v>303</v>
      </c>
      <c r="E225" s="155">
        <f t="shared" si="72"/>
        <v>205810.75</v>
      </c>
      <c r="F225" s="155">
        <f t="shared" si="74"/>
        <v>205810.75</v>
      </c>
      <c r="G225" s="155">
        <f t="shared" si="73"/>
        <v>205810.75</v>
      </c>
      <c r="H225" s="197">
        <f t="shared" si="75"/>
        <v>205810.75</v>
      </c>
      <c r="I225" s="181"/>
      <c r="J225" s="157"/>
      <c r="K225" s="156"/>
      <c r="L225" s="156">
        <f>205968.6-157.85</f>
        <v>205810.75</v>
      </c>
      <c r="M225" s="158"/>
      <c r="N225" s="157"/>
      <c r="O225" s="157"/>
      <c r="P225" s="156"/>
      <c r="Q225" s="156"/>
      <c r="R225" s="156"/>
    </row>
    <row r="226" spans="1:18" s="190" customFormat="1" ht="20.25">
      <c r="A226" s="194"/>
      <c r="B226" s="194"/>
      <c r="C226" s="195">
        <v>4179</v>
      </c>
      <c r="D226" s="196" t="s">
        <v>303</v>
      </c>
      <c r="E226" s="155">
        <f t="shared" si="72"/>
        <v>36319.54000000001</v>
      </c>
      <c r="F226" s="155">
        <f t="shared" si="74"/>
        <v>36319.54000000001</v>
      </c>
      <c r="G226" s="155">
        <f t="shared" si="73"/>
        <v>36319.54000000001</v>
      </c>
      <c r="H226" s="197">
        <f t="shared" si="75"/>
        <v>36319.54000000001</v>
      </c>
      <c r="I226" s="181"/>
      <c r="J226" s="157"/>
      <c r="K226" s="156"/>
      <c r="L226" s="156">
        <f>242130.29-L225</f>
        <v>36319.54000000001</v>
      </c>
      <c r="M226" s="158"/>
      <c r="N226" s="157"/>
      <c r="O226" s="157"/>
      <c r="P226" s="156"/>
      <c r="Q226" s="156"/>
      <c r="R226" s="156"/>
    </row>
    <row r="227" spans="1:18" s="190" customFormat="1" ht="20.25">
      <c r="A227" s="194"/>
      <c r="B227" s="194"/>
      <c r="C227" s="154">
        <v>4210</v>
      </c>
      <c r="D227" s="153" t="s">
        <v>209</v>
      </c>
      <c r="E227" s="155">
        <f t="shared" si="72"/>
        <v>1500</v>
      </c>
      <c r="F227" s="155">
        <f>G227+K227+L227+J227+N227+M227</f>
        <v>1500</v>
      </c>
      <c r="G227" s="155">
        <f t="shared" si="73"/>
        <v>1500</v>
      </c>
      <c r="H227" s="156"/>
      <c r="I227" s="156">
        <v>1500</v>
      </c>
      <c r="J227" s="157"/>
      <c r="K227" s="156"/>
      <c r="L227" s="156"/>
      <c r="M227" s="158"/>
      <c r="N227" s="157"/>
      <c r="O227" s="157"/>
      <c r="P227" s="156"/>
      <c r="Q227" s="156"/>
      <c r="R227" s="156"/>
    </row>
    <row r="228" spans="1:18" s="190" customFormat="1" ht="20.25">
      <c r="A228" s="194"/>
      <c r="B228" s="194"/>
      <c r="C228" s="198">
        <v>4217</v>
      </c>
      <c r="D228" s="199" t="s">
        <v>276</v>
      </c>
      <c r="E228" s="155">
        <f t="shared" si="72"/>
        <v>25960.87</v>
      </c>
      <c r="F228" s="155">
        <f>G228+K228+J228+N228+M228</f>
        <v>25960.87</v>
      </c>
      <c r="G228" s="155">
        <f t="shared" si="73"/>
        <v>25960.87</v>
      </c>
      <c r="H228" s="197">
        <f>L228</f>
        <v>25960.87</v>
      </c>
      <c r="I228" s="181"/>
      <c r="J228" s="157"/>
      <c r="K228" s="156"/>
      <c r="L228" s="156">
        <v>25960.87</v>
      </c>
      <c r="M228" s="158"/>
      <c r="N228" s="157"/>
      <c r="O228" s="157"/>
      <c r="P228" s="156"/>
      <c r="Q228" s="156"/>
      <c r="R228" s="156"/>
    </row>
    <row r="229" spans="1:18" s="190" customFormat="1" ht="20.25">
      <c r="A229" s="194"/>
      <c r="B229" s="194"/>
      <c r="C229" s="198">
        <v>4219</v>
      </c>
      <c r="D229" s="199" t="s">
        <v>276</v>
      </c>
      <c r="E229" s="155">
        <f t="shared" si="72"/>
        <v>4581.330000000002</v>
      </c>
      <c r="F229" s="155">
        <f>G229+K229+J229+N229+M229</f>
        <v>4581.330000000002</v>
      </c>
      <c r="G229" s="155">
        <f t="shared" si="73"/>
        <v>4581.330000000002</v>
      </c>
      <c r="H229" s="197">
        <f>L229</f>
        <v>4581.330000000002</v>
      </c>
      <c r="I229" s="156"/>
      <c r="J229" s="157"/>
      <c r="K229" s="156"/>
      <c r="L229" s="156">
        <f>30542.2-L228</f>
        <v>4581.330000000002</v>
      </c>
      <c r="M229" s="158"/>
      <c r="N229" s="157"/>
      <c r="O229" s="157"/>
      <c r="P229" s="156"/>
      <c r="Q229" s="156"/>
      <c r="R229" s="156"/>
    </row>
    <row r="230" spans="1:18" s="190" customFormat="1" ht="20.25">
      <c r="A230" s="154"/>
      <c r="B230" s="154"/>
      <c r="C230" s="154">
        <v>4300</v>
      </c>
      <c r="D230" s="153" t="s">
        <v>287</v>
      </c>
      <c r="E230" s="155">
        <f t="shared" si="72"/>
        <v>1000</v>
      </c>
      <c r="F230" s="155">
        <f>G230+K230+L230+J230+N230+M230</f>
        <v>1000</v>
      </c>
      <c r="G230" s="155">
        <f t="shared" si="73"/>
        <v>1000</v>
      </c>
      <c r="H230" s="156"/>
      <c r="I230" s="156">
        <v>1000</v>
      </c>
      <c r="J230" s="157"/>
      <c r="K230" s="156"/>
      <c r="L230" s="156"/>
      <c r="M230" s="158"/>
      <c r="N230" s="157"/>
      <c r="O230" s="157"/>
      <c r="P230" s="156"/>
      <c r="Q230" s="156"/>
      <c r="R230" s="156"/>
    </row>
    <row r="231" spans="1:18" ht="22.5" customHeight="1">
      <c r="A231" s="200"/>
      <c r="B231" s="200"/>
      <c r="C231" s="198">
        <v>4307</v>
      </c>
      <c r="D231" s="199" t="s">
        <v>287</v>
      </c>
      <c r="E231" s="155">
        <f t="shared" si="72"/>
        <v>331833.42</v>
      </c>
      <c r="F231" s="155">
        <f>G231+K231+J231+N231+M231</f>
        <v>331833.42</v>
      </c>
      <c r="G231" s="155">
        <f t="shared" si="73"/>
        <v>331833.42</v>
      </c>
      <c r="H231" s="181"/>
      <c r="I231" s="197">
        <f>L231</f>
        <v>331833.42</v>
      </c>
      <c r="J231" s="156"/>
      <c r="K231" s="156"/>
      <c r="L231" s="156">
        <v>331833.42</v>
      </c>
      <c r="M231" s="156"/>
      <c r="N231" s="156"/>
      <c r="O231" s="156"/>
      <c r="P231" s="156"/>
      <c r="Q231" s="156"/>
      <c r="R231" s="156"/>
    </row>
    <row r="232" spans="1:18" ht="22.5" customHeight="1">
      <c r="A232" s="200"/>
      <c r="B232" s="200"/>
      <c r="C232" s="198">
        <v>4309</v>
      </c>
      <c r="D232" s="199" t="s">
        <v>287</v>
      </c>
      <c r="E232" s="155">
        <f t="shared" si="72"/>
        <v>58558.840000000026</v>
      </c>
      <c r="F232" s="155">
        <f>G232+K232+J232+N232+M232</f>
        <v>58558.840000000026</v>
      </c>
      <c r="G232" s="155">
        <f t="shared" si="73"/>
        <v>58558.840000000026</v>
      </c>
      <c r="H232" s="181"/>
      <c r="I232" s="197">
        <f>L232</f>
        <v>58558.840000000026</v>
      </c>
      <c r="J232" s="156"/>
      <c r="K232" s="156"/>
      <c r="L232" s="156">
        <f>390392.26-L231</f>
        <v>58558.840000000026</v>
      </c>
      <c r="M232" s="156"/>
      <c r="N232" s="156"/>
      <c r="O232" s="156"/>
      <c r="P232" s="156"/>
      <c r="Q232" s="156"/>
      <c r="R232" s="156"/>
    </row>
    <row r="233" spans="1:18" ht="36.75" customHeight="1">
      <c r="A233" s="153"/>
      <c r="B233" s="153"/>
      <c r="C233" s="154">
        <v>4440</v>
      </c>
      <c r="D233" s="153" t="s">
        <v>271</v>
      </c>
      <c r="E233" s="155">
        <f t="shared" si="72"/>
        <v>154088</v>
      </c>
      <c r="F233" s="155">
        <f>G233+K233+L233+J233+N233+M233</f>
        <v>154088</v>
      </c>
      <c r="G233" s="155">
        <f t="shared" si="73"/>
        <v>154088</v>
      </c>
      <c r="H233" s="157"/>
      <c r="I233" s="157">
        <f>'zał 15'!I61+'zał 16'!I47+'zał 17'!I61+'zał 18'!I47+'zał 19'!I47+'zał 20'!I50+'zał 21'!I50</f>
        <v>154088</v>
      </c>
      <c r="J233" s="157"/>
      <c r="K233" s="157"/>
      <c r="L233" s="157"/>
      <c r="M233" s="157"/>
      <c r="N233" s="157"/>
      <c r="O233" s="157"/>
      <c r="P233" s="157"/>
      <c r="Q233" s="157"/>
      <c r="R233" s="157"/>
    </row>
    <row r="234" spans="1:18" ht="22.5" customHeight="1">
      <c r="A234" s="201">
        <v>803</v>
      </c>
      <c r="B234" s="201"/>
      <c r="C234" s="202"/>
      <c r="D234" s="203" t="s">
        <v>304</v>
      </c>
      <c r="E234" s="148">
        <f aca="true" t="shared" si="76" ref="E234:R235">E235</f>
        <v>10000</v>
      </c>
      <c r="F234" s="148">
        <f t="shared" si="76"/>
        <v>0</v>
      </c>
      <c r="G234" s="148">
        <f t="shared" si="76"/>
        <v>0</v>
      </c>
      <c r="H234" s="148">
        <f t="shared" si="76"/>
        <v>0</v>
      </c>
      <c r="I234" s="148">
        <f t="shared" si="76"/>
        <v>0</v>
      </c>
      <c r="J234" s="148">
        <f t="shared" si="76"/>
        <v>0</v>
      </c>
      <c r="K234" s="148">
        <f t="shared" si="76"/>
        <v>0</v>
      </c>
      <c r="L234" s="148">
        <f t="shared" si="76"/>
        <v>0</v>
      </c>
      <c r="M234" s="148">
        <f t="shared" si="76"/>
        <v>0</v>
      </c>
      <c r="N234" s="148">
        <f t="shared" si="76"/>
        <v>0</v>
      </c>
      <c r="O234" s="148">
        <f t="shared" si="76"/>
        <v>10000</v>
      </c>
      <c r="P234" s="148">
        <f t="shared" si="76"/>
        <v>10000</v>
      </c>
      <c r="Q234" s="148">
        <f t="shared" si="76"/>
        <v>0</v>
      </c>
      <c r="R234" s="148">
        <f t="shared" si="76"/>
        <v>0</v>
      </c>
    </row>
    <row r="235" spans="1:18" ht="22.5" customHeight="1">
      <c r="A235" s="204"/>
      <c r="B235" s="205">
        <v>80395</v>
      </c>
      <c r="C235" s="154"/>
      <c r="D235" s="206" t="s">
        <v>30</v>
      </c>
      <c r="E235" s="207">
        <f t="shared" si="76"/>
        <v>10000</v>
      </c>
      <c r="F235" s="207">
        <f t="shared" si="76"/>
        <v>0</v>
      </c>
      <c r="G235" s="207">
        <f t="shared" si="76"/>
        <v>0</v>
      </c>
      <c r="H235" s="207">
        <f t="shared" si="76"/>
        <v>0</v>
      </c>
      <c r="I235" s="207">
        <f t="shared" si="76"/>
        <v>0</v>
      </c>
      <c r="J235" s="207">
        <f t="shared" si="76"/>
        <v>0</v>
      </c>
      <c r="K235" s="207">
        <f t="shared" si="76"/>
        <v>0</v>
      </c>
      <c r="L235" s="207">
        <f t="shared" si="76"/>
        <v>0</v>
      </c>
      <c r="M235" s="207">
        <f t="shared" si="76"/>
        <v>0</v>
      </c>
      <c r="N235" s="207">
        <f t="shared" si="76"/>
        <v>0</v>
      </c>
      <c r="O235" s="207">
        <f t="shared" si="76"/>
        <v>10000</v>
      </c>
      <c r="P235" s="207">
        <f t="shared" si="76"/>
        <v>10000</v>
      </c>
      <c r="Q235" s="207">
        <f t="shared" si="76"/>
        <v>0</v>
      </c>
      <c r="R235" s="207">
        <f t="shared" si="76"/>
        <v>0</v>
      </c>
    </row>
    <row r="236" spans="1:18" ht="81">
      <c r="A236" s="208"/>
      <c r="B236" s="208"/>
      <c r="C236" s="198">
        <v>6630</v>
      </c>
      <c r="D236" s="209" t="s">
        <v>208</v>
      </c>
      <c r="E236" s="155">
        <f>F236+O236</f>
        <v>10000</v>
      </c>
      <c r="F236" s="155">
        <f>G236+K236+L236+J236+N236+M236</f>
        <v>0</v>
      </c>
      <c r="G236" s="155">
        <f>H236+I236</f>
        <v>0</v>
      </c>
      <c r="H236" s="156"/>
      <c r="I236" s="156"/>
      <c r="J236" s="156"/>
      <c r="K236" s="156"/>
      <c r="L236" s="156"/>
      <c r="M236" s="156"/>
      <c r="N236" s="156"/>
      <c r="O236" s="157">
        <f>P236+R236</f>
        <v>10000</v>
      </c>
      <c r="P236" s="156">
        <f>'zał 11'!E38</f>
        <v>10000</v>
      </c>
      <c r="Q236" s="156"/>
      <c r="R236" s="156"/>
    </row>
    <row r="237" spans="1:18" ht="22.5" customHeight="1">
      <c r="A237" s="147">
        <v>851</v>
      </c>
      <c r="B237" s="147"/>
      <c r="C237" s="147"/>
      <c r="D237" s="147" t="s">
        <v>305</v>
      </c>
      <c r="E237" s="148">
        <f aca="true" t="shared" si="77" ref="E237:R237">E240+E243+E238</f>
        <v>336661</v>
      </c>
      <c r="F237" s="148">
        <f t="shared" si="77"/>
        <v>336661</v>
      </c>
      <c r="G237" s="148">
        <f t="shared" si="77"/>
        <v>146400</v>
      </c>
      <c r="H237" s="148">
        <f t="shared" si="77"/>
        <v>75200</v>
      </c>
      <c r="I237" s="148">
        <f t="shared" si="77"/>
        <v>71200</v>
      </c>
      <c r="J237" s="148">
        <f t="shared" si="77"/>
        <v>146000</v>
      </c>
      <c r="K237" s="148">
        <f t="shared" si="77"/>
        <v>0</v>
      </c>
      <c r="L237" s="148">
        <f t="shared" si="77"/>
        <v>0</v>
      </c>
      <c r="M237" s="148">
        <f t="shared" si="77"/>
        <v>44261</v>
      </c>
      <c r="N237" s="148">
        <f t="shared" si="77"/>
        <v>0</v>
      </c>
      <c r="O237" s="148">
        <f t="shared" si="77"/>
        <v>0</v>
      </c>
      <c r="P237" s="148">
        <f t="shared" si="77"/>
        <v>0</v>
      </c>
      <c r="Q237" s="148">
        <f t="shared" si="77"/>
        <v>0</v>
      </c>
      <c r="R237" s="148">
        <f t="shared" si="77"/>
        <v>0</v>
      </c>
    </row>
    <row r="238" spans="1:18" ht="22.5" customHeight="1">
      <c r="A238" s="210"/>
      <c r="B238" s="210">
        <v>85111</v>
      </c>
      <c r="C238" s="210"/>
      <c r="D238" s="211" t="s">
        <v>306</v>
      </c>
      <c r="E238" s="207">
        <f aca="true" t="shared" si="78" ref="E238:R238">E239</f>
        <v>44261</v>
      </c>
      <c r="F238" s="207">
        <f t="shared" si="78"/>
        <v>44261</v>
      </c>
      <c r="G238" s="207">
        <f t="shared" si="78"/>
        <v>0</v>
      </c>
      <c r="H238" s="207">
        <f t="shared" si="78"/>
        <v>0</v>
      </c>
      <c r="I238" s="207">
        <f t="shared" si="78"/>
        <v>0</v>
      </c>
      <c r="J238" s="207">
        <f t="shared" si="78"/>
        <v>0</v>
      </c>
      <c r="K238" s="207">
        <f t="shared" si="78"/>
        <v>0</v>
      </c>
      <c r="L238" s="207">
        <f t="shared" si="78"/>
        <v>0</v>
      </c>
      <c r="M238" s="207">
        <f t="shared" si="78"/>
        <v>44261</v>
      </c>
      <c r="N238" s="207">
        <f t="shared" si="78"/>
        <v>0</v>
      </c>
      <c r="O238" s="207">
        <f t="shared" si="78"/>
        <v>0</v>
      </c>
      <c r="P238" s="207">
        <f t="shared" si="78"/>
        <v>0</v>
      </c>
      <c r="Q238" s="207">
        <f t="shared" si="78"/>
        <v>0</v>
      </c>
      <c r="R238" s="207">
        <f t="shared" si="78"/>
        <v>0</v>
      </c>
    </row>
    <row r="239" spans="1:18" ht="22.5" customHeight="1">
      <c r="A239" s="150"/>
      <c r="B239" s="154"/>
      <c r="C239" s="154">
        <v>8020</v>
      </c>
      <c r="D239" s="153" t="s">
        <v>215</v>
      </c>
      <c r="E239" s="155">
        <f>F239+O239</f>
        <v>44261</v>
      </c>
      <c r="F239" s="155">
        <f>G239+K239+L239+J239+N239+M239</f>
        <v>44261</v>
      </c>
      <c r="G239" s="155">
        <f>H239+I239</f>
        <v>0</v>
      </c>
      <c r="H239" s="156"/>
      <c r="I239" s="156"/>
      <c r="J239" s="156"/>
      <c r="K239" s="156"/>
      <c r="L239" s="156"/>
      <c r="M239" s="156">
        <v>44261</v>
      </c>
      <c r="N239" s="156"/>
      <c r="O239" s="156"/>
      <c r="P239" s="156"/>
      <c r="Q239" s="156"/>
      <c r="R239" s="156"/>
    </row>
    <row r="240" spans="1:18" ht="22.5" customHeight="1">
      <c r="A240" s="210"/>
      <c r="B240" s="210">
        <v>85153</v>
      </c>
      <c r="C240" s="210"/>
      <c r="D240" s="211" t="s">
        <v>307</v>
      </c>
      <c r="E240" s="207">
        <f aca="true" t="shared" si="79" ref="E240:R240">SUM(E241:E242)</f>
        <v>50000</v>
      </c>
      <c r="F240" s="207">
        <f t="shared" si="79"/>
        <v>50000</v>
      </c>
      <c r="G240" s="207">
        <f t="shared" si="79"/>
        <v>5000</v>
      </c>
      <c r="H240" s="207">
        <f t="shared" si="79"/>
        <v>0</v>
      </c>
      <c r="I240" s="207">
        <f t="shared" si="79"/>
        <v>5000</v>
      </c>
      <c r="J240" s="207">
        <f t="shared" si="79"/>
        <v>45000</v>
      </c>
      <c r="K240" s="207">
        <f t="shared" si="79"/>
        <v>0</v>
      </c>
      <c r="L240" s="207">
        <f t="shared" si="79"/>
        <v>0</v>
      </c>
      <c r="M240" s="207">
        <f t="shared" si="79"/>
        <v>0</v>
      </c>
      <c r="N240" s="207">
        <f t="shared" si="79"/>
        <v>0</v>
      </c>
      <c r="O240" s="207">
        <f t="shared" si="79"/>
        <v>0</v>
      </c>
      <c r="P240" s="207">
        <f t="shared" si="79"/>
        <v>0</v>
      </c>
      <c r="Q240" s="207">
        <f t="shared" si="79"/>
        <v>0</v>
      </c>
      <c r="R240" s="207">
        <f t="shared" si="79"/>
        <v>0</v>
      </c>
    </row>
    <row r="241" spans="1:18" ht="54" customHeight="1">
      <c r="A241" s="212"/>
      <c r="B241" s="212"/>
      <c r="C241" s="212">
        <v>2820</v>
      </c>
      <c r="D241" s="213" t="s">
        <v>308</v>
      </c>
      <c r="E241" s="155">
        <f>F241+O242</f>
        <v>45000</v>
      </c>
      <c r="F241" s="155">
        <f>G241+K242+L242+J241+N242+M242</f>
        <v>45000</v>
      </c>
      <c r="G241" s="155">
        <f>H241+I241</f>
        <v>0</v>
      </c>
      <c r="H241" s="156"/>
      <c r="I241" s="156"/>
      <c r="J241" s="156">
        <f>'zał 26'!E8</f>
        <v>45000</v>
      </c>
      <c r="K241" s="156"/>
      <c r="L241" s="156"/>
      <c r="M241" s="158"/>
      <c r="N241" s="156"/>
      <c r="O241" s="156"/>
      <c r="P241" s="156"/>
      <c r="Q241" s="156"/>
      <c r="R241" s="156"/>
    </row>
    <row r="242" spans="1:18" ht="22.5" customHeight="1">
      <c r="A242" s="212"/>
      <c r="B242" s="212"/>
      <c r="C242" s="154">
        <v>4210</v>
      </c>
      <c r="D242" s="153" t="s">
        <v>209</v>
      </c>
      <c r="E242" s="155">
        <f>F242+O242</f>
        <v>5000</v>
      </c>
      <c r="F242" s="155">
        <f>G242+K242+L242+J242+N242+M242</f>
        <v>5000</v>
      </c>
      <c r="G242" s="155">
        <f>H242+I242</f>
        <v>5000</v>
      </c>
      <c r="H242" s="156"/>
      <c r="I242" s="156">
        <v>5000</v>
      </c>
      <c r="J242" s="159"/>
      <c r="K242" s="156"/>
      <c r="L242" s="156"/>
      <c r="M242" s="158"/>
      <c r="N242" s="156"/>
      <c r="O242" s="156"/>
      <c r="P242" s="156"/>
      <c r="Q242" s="156"/>
      <c r="R242" s="156"/>
    </row>
    <row r="243" spans="1:18" ht="22.5" customHeight="1">
      <c r="A243" s="210"/>
      <c r="B243" s="210">
        <v>85154</v>
      </c>
      <c r="C243" s="210"/>
      <c r="D243" s="211" t="s">
        <v>309</v>
      </c>
      <c r="E243" s="207">
        <f aca="true" t="shared" si="80" ref="E243:R243">SUM(E244:E256)</f>
        <v>242400</v>
      </c>
      <c r="F243" s="207">
        <f t="shared" si="80"/>
        <v>242400</v>
      </c>
      <c r="G243" s="207">
        <f t="shared" si="80"/>
        <v>141400</v>
      </c>
      <c r="H243" s="207">
        <f t="shared" si="80"/>
        <v>75200</v>
      </c>
      <c r="I243" s="207">
        <f t="shared" si="80"/>
        <v>66200</v>
      </c>
      <c r="J243" s="207">
        <f t="shared" si="80"/>
        <v>101000</v>
      </c>
      <c r="K243" s="207">
        <f t="shared" si="80"/>
        <v>0</v>
      </c>
      <c r="L243" s="207">
        <f t="shared" si="80"/>
        <v>0</v>
      </c>
      <c r="M243" s="207">
        <f t="shared" si="80"/>
        <v>0</v>
      </c>
      <c r="N243" s="207">
        <f t="shared" si="80"/>
        <v>0</v>
      </c>
      <c r="O243" s="207">
        <f t="shared" si="80"/>
        <v>0</v>
      </c>
      <c r="P243" s="207">
        <f t="shared" si="80"/>
        <v>0</v>
      </c>
      <c r="Q243" s="207">
        <f t="shared" si="80"/>
        <v>0</v>
      </c>
      <c r="R243" s="207">
        <f t="shared" si="80"/>
        <v>0</v>
      </c>
    </row>
    <row r="244" spans="1:18" ht="54" customHeight="1">
      <c r="A244" s="212"/>
      <c r="B244" s="212"/>
      <c r="C244" s="212">
        <v>2310</v>
      </c>
      <c r="D244" s="214" t="s">
        <v>310</v>
      </c>
      <c r="E244" s="155">
        <f aca="true" t="shared" si="81" ref="E244:E256">F244+O244</f>
        <v>6000</v>
      </c>
      <c r="F244" s="155">
        <f aca="true" t="shared" si="82" ref="F244:F256">G244+K244+L244+J244+N244+M244</f>
        <v>6000</v>
      </c>
      <c r="G244" s="155">
        <f aca="true" t="shared" si="83" ref="G244:G256">H244+I244</f>
        <v>0</v>
      </c>
      <c r="H244" s="156"/>
      <c r="I244" s="156"/>
      <c r="J244" s="156">
        <f>'zał 25'!E11</f>
        <v>6000</v>
      </c>
      <c r="K244" s="156"/>
      <c r="L244" s="156"/>
      <c r="M244" s="158"/>
      <c r="N244" s="156"/>
      <c r="O244" s="156"/>
      <c r="P244" s="156"/>
      <c r="Q244" s="156"/>
      <c r="R244" s="156"/>
    </row>
    <row r="245" spans="1:18" ht="54" customHeight="1">
      <c r="A245" s="212"/>
      <c r="B245" s="212"/>
      <c r="C245" s="212">
        <v>2820</v>
      </c>
      <c r="D245" s="213" t="s">
        <v>308</v>
      </c>
      <c r="E245" s="155">
        <f t="shared" si="81"/>
        <v>85000</v>
      </c>
      <c r="F245" s="155">
        <f t="shared" si="82"/>
        <v>85000</v>
      </c>
      <c r="G245" s="155">
        <f t="shared" si="83"/>
        <v>0</v>
      </c>
      <c r="H245" s="156"/>
      <c r="I245" s="156"/>
      <c r="J245" s="156">
        <f>'zał 26'!E10</f>
        <v>85000</v>
      </c>
      <c r="K245" s="156"/>
      <c r="L245" s="156"/>
      <c r="M245" s="158"/>
      <c r="N245" s="156"/>
      <c r="O245" s="156"/>
      <c r="P245" s="156"/>
      <c r="Q245" s="156"/>
      <c r="R245" s="156"/>
    </row>
    <row r="246" spans="1:18" ht="70.5" customHeight="1">
      <c r="A246" s="212"/>
      <c r="B246" s="212"/>
      <c r="C246" s="212">
        <v>2830</v>
      </c>
      <c r="D246" s="213" t="s">
        <v>311</v>
      </c>
      <c r="E246" s="155">
        <f t="shared" si="81"/>
        <v>10000</v>
      </c>
      <c r="F246" s="155">
        <f t="shared" si="82"/>
        <v>10000</v>
      </c>
      <c r="G246" s="155">
        <f t="shared" si="83"/>
        <v>0</v>
      </c>
      <c r="H246" s="156"/>
      <c r="I246" s="156"/>
      <c r="J246" s="156">
        <f>'zał 26'!E11</f>
        <v>10000</v>
      </c>
      <c r="K246" s="156"/>
      <c r="L246" s="156"/>
      <c r="M246" s="158"/>
      <c r="N246" s="156"/>
      <c r="O246" s="156"/>
      <c r="P246" s="156"/>
      <c r="Q246" s="156"/>
      <c r="R246" s="156"/>
    </row>
    <row r="247" spans="1:18" ht="22.5" customHeight="1">
      <c r="A247" s="212"/>
      <c r="B247" s="212"/>
      <c r="C247" s="212">
        <v>4110</v>
      </c>
      <c r="D247" s="214" t="s">
        <v>226</v>
      </c>
      <c r="E247" s="155">
        <f t="shared" si="81"/>
        <v>11000</v>
      </c>
      <c r="F247" s="155">
        <f t="shared" si="82"/>
        <v>11000</v>
      </c>
      <c r="G247" s="155">
        <f t="shared" si="83"/>
        <v>11000</v>
      </c>
      <c r="H247" s="156">
        <v>11000</v>
      </c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</row>
    <row r="248" spans="1:18" ht="22.5" customHeight="1">
      <c r="A248" s="212"/>
      <c r="B248" s="212"/>
      <c r="C248" s="212">
        <v>4120</v>
      </c>
      <c r="D248" s="214" t="s">
        <v>227</v>
      </c>
      <c r="E248" s="155">
        <f t="shared" si="81"/>
        <v>1800</v>
      </c>
      <c r="F248" s="155">
        <f t="shared" si="82"/>
        <v>1800</v>
      </c>
      <c r="G248" s="155">
        <f t="shared" si="83"/>
        <v>1800</v>
      </c>
      <c r="H248" s="156">
        <v>1800</v>
      </c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</row>
    <row r="249" spans="1:18" ht="22.5" customHeight="1">
      <c r="A249" s="212"/>
      <c r="B249" s="212"/>
      <c r="C249" s="212">
        <v>4170</v>
      </c>
      <c r="D249" s="214" t="s">
        <v>229</v>
      </c>
      <c r="E249" s="155">
        <f t="shared" si="81"/>
        <v>62400</v>
      </c>
      <c r="F249" s="155">
        <f t="shared" si="82"/>
        <v>62400</v>
      </c>
      <c r="G249" s="155">
        <f t="shared" si="83"/>
        <v>62400</v>
      </c>
      <c r="H249" s="156">
        <f>50000+12400</f>
        <v>62400</v>
      </c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</row>
    <row r="250" spans="1:18" ht="22.5" customHeight="1">
      <c r="A250" s="212"/>
      <c r="B250" s="212"/>
      <c r="C250" s="212">
        <v>4210</v>
      </c>
      <c r="D250" s="214" t="s">
        <v>222</v>
      </c>
      <c r="E250" s="155">
        <f t="shared" si="81"/>
        <v>21200</v>
      </c>
      <c r="F250" s="155">
        <f t="shared" si="82"/>
        <v>21200</v>
      </c>
      <c r="G250" s="155">
        <f t="shared" si="83"/>
        <v>21200</v>
      </c>
      <c r="H250" s="156"/>
      <c r="I250" s="156">
        <v>21200</v>
      </c>
      <c r="J250" s="156"/>
      <c r="K250" s="156"/>
      <c r="L250" s="156"/>
      <c r="M250" s="156"/>
      <c r="N250" s="156"/>
      <c r="O250" s="156"/>
      <c r="P250" s="156"/>
      <c r="Q250" s="156"/>
      <c r="R250" s="156"/>
    </row>
    <row r="251" spans="1:18" ht="22.5" customHeight="1">
      <c r="A251" s="212"/>
      <c r="B251" s="212"/>
      <c r="C251" s="212">
        <v>4260</v>
      </c>
      <c r="D251" s="214" t="s">
        <v>267</v>
      </c>
      <c r="E251" s="155">
        <f t="shared" si="81"/>
        <v>2000</v>
      </c>
      <c r="F251" s="155">
        <f t="shared" si="82"/>
        <v>2000</v>
      </c>
      <c r="G251" s="155">
        <f t="shared" si="83"/>
        <v>2000</v>
      </c>
      <c r="H251" s="156"/>
      <c r="I251" s="156">
        <v>2000</v>
      </c>
      <c r="J251" s="156"/>
      <c r="K251" s="156"/>
      <c r="L251" s="156"/>
      <c r="M251" s="156"/>
      <c r="N251" s="156"/>
      <c r="O251" s="156"/>
      <c r="P251" s="156"/>
      <c r="Q251" s="156"/>
      <c r="R251" s="156"/>
    </row>
    <row r="252" spans="1:18" ht="22.5" customHeight="1">
      <c r="A252" s="213"/>
      <c r="B252" s="213"/>
      <c r="C252" s="212">
        <v>4300</v>
      </c>
      <c r="D252" s="214" t="s">
        <v>205</v>
      </c>
      <c r="E252" s="155">
        <f t="shared" si="81"/>
        <v>32900</v>
      </c>
      <c r="F252" s="155">
        <f t="shared" si="82"/>
        <v>32900</v>
      </c>
      <c r="G252" s="155">
        <f t="shared" si="83"/>
        <v>32900</v>
      </c>
      <c r="H252" s="156"/>
      <c r="I252" s="156">
        <v>32900</v>
      </c>
      <c r="J252" s="156"/>
      <c r="K252" s="156"/>
      <c r="L252" s="156"/>
      <c r="M252" s="156"/>
      <c r="N252" s="156"/>
      <c r="O252" s="156"/>
      <c r="P252" s="156"/>
      <c r="Q252" s="156"/>
      <c r="R252" s="156"/>
    </row>
    <row r="253" spans="1:18" ht="22.5" customHeight="1">
      <c r="A253" s="213"/>
      <c r="B253" s="213"/>
      <c r="C253" s="212">
        <v>4350</v>
      </c>
      <c r="D253" s="214" t="s">
        <v>234</v>
      </c>
      <c r="E253" s="155">
        <f t="shared" si="81"/>
        <v>1000</v>
      </c>
      <c r="F253" s="155">
        <f t="shared" si="82"/>
        <v>1000</v>
      </c>
      <c r="G253" s="155">
        <f t="shared" si="83"/>
        <v>1000</v>
      </c>
      <c r="H253" s="156"/>
      <c r="I253" s="156">
        <v>1000</v>
      </c>
      <c r="J253" s="156"/>
      <c r="K253" s="156"/>
      <c r="L253" s="156"/>
      <c r="M253" s="156"/>
      <c r="N253" s="156"/>
      <c r="O253" s="156"/>
      <c r="P253" s="156"/>
      <c r="Q253" s="156"/>
      <c r="R253" s="156"/>
    </row>
    <row r="254" spans="1:18" ht="36.75" customHeight="1">
      <c r="A254" s="213"/>
      <c r="B254" s="213"/>
      <c r="C254" s="212">
        <v>4370</v>
      </c>
      <c r="D254" s="163" t="s">
        <v>269</v>
      </c>
      <c r="E254" s="155">
        <f t="shared" si="81"/>
        <v>6600</v>
      </c>
      <c r="F254" s="155">
        <f t="shared" si="82"/>
        <v>6600</v>
      </c>
      <c r="G254" s="155">
        <f t="shared" si="83"/>
        <v>6600</v>
      </c>
      <c r="H254" s="156"/>
      <c r="I254" s="156">
        <v>6600</v>
      </c>
      <c r="J254" s="156"/>
      <c r="K254" s="156"/>
      <c r="L254" s="156"/>
      <c r="M254" s="156"/>
      <c r="N254" s="156"/>
      <c r="O254" s="156"/>
      <c r="P254" s="156"/>
      <c r="Q254" s="156"/>
      <c r="R254" s="156"/>
    </row>
    <row r="255" spans="1:18" ht="22.5" customHeight="1">
      <c r="A255" s="213"/>
      <c r="B255" s="213"/>
      <c r="C255" s="212">
        <v>4410</v>
      </c>
      <c r="D255" s="214" t="s">
        <v>238</v>
      </c>
      <c r="E255" s="155">
        <f t="shared" si="81"/>
        <v>2500</v>
      </c>
      <c r="F255" s="155">
        <f t="shared" si="82"/>
        <v>2500</v>
      </c>
      <c r="G255" s="155">
        <f t="shared" si="83"/>
        <v>2500</v>
      </c>
      <c r="H255" s="156"/>
      <c r="I255" s="156">
        <v>2500</v>
      </c>
      <c r="J255" s="156"/>
      <c r="K255" s="156"/>
      <c r="L255" s="156"/>
      <c r="M255" s="156"/>
      <c r="N255" s="156"/>
      <c r="O255" s="156"/>
      <c r="P255" s="156"/>
      <c r="Q255" s="156"/>
      <c r="R255" s="156"/>
    </row>
    <row r="256" spans="1:18" ht="36.75" customHeight="1">
      <c r="A256" s="213"/>
      <c r="B256" s="213"/>
      <c r="C256" s="212">
        <v>4700</v>
      </c>
      <c r="D256" s="213" t="s">
        <v>312</v>
      </c>
      <c r="E256" s="155">
        <f t="shared" si="81"/>
        <v>0</v>
      </c>
      <c r="F256" s="155">
        <f t="shared" si="82"/>
        <v>0</v>
      </c>
      <c r="G256" s="155">
        <f t="shared" si="83"/>
        <v>0</v>
      </c>
      <c r="H256" s="156"/>
      <c r="I256" s="156">
        <v>0</v>
      </c>
      <c r="J256" s="156"/>
      <c r="K256" s="156"/>
      <c r="L256" s="156"/>
      <c r="M256" s="156"/>
      <c r="N256" s="156"/>
      <c r="O256" s="156"/>
      <c r="P256" s="156"/>
      <c r="Q256" s="156"/>
      <c r="R256" s="156"/>
    </row>
    <row r="257" spans="1:18" ht="22.5" customHeight="1">
      <c r="A257" s="147">
        <v>852</v>
      </c>
      <c r="B257" s="147"/>
      <c r="C257" s="147"/>
      <c r="D257" s="147" t="s">
        <v>169</v>
      </c>
      <c r="E257" s="148">
        <f aca="true" t="shared" si="84" ref="E257:R257">E260+E263+E267+E286+E298+E258+E265</f>
        <v>3647758</v>
      </c>
      <c r="F257" s="148">
        <f t="shared" si="84"/>
        <v>3647758</v>
      </c>
      <c r="G257" s="148">
        <f t="shared" si="84"/>
        <v>1666958</v>
      </c>
      <c r="H257" s="148">
        <f t="shared" si="84"/>
        <v>1178276</v>
      </c>
      <c r="I257" s="148">
        <f t="shared" si="84"/>
        <v>488682</v>
      </c>
      <c r="J257" s="148">
        <f t="shared" si="84"/>
        <v>10000</v>
      </c>
      <c r="K257" s="148">
        <f t="shared" si="84"/>
        <v>1970800</v>
      </c>
      <c r="L257" s="148">
        <f t="shared" si="84"/>
        <v>0</v>
      </c>
      <c r="M257" s="148">
        <f t="shared" si="84"/>
        <v>0</v>
      </c>
      <c r="N257" s="148">
        <f t="shared" si="84"/>
        <v>0</v>
      </c>
      <c r="O257" s="148">
        <f t="shared" si="84"/>
        <v>0</v>
      </c>
      <c r="P257" s="148">
        <f t="shared" si="84"/>
        <v>0</v>
      </c>
      <c r="Q257" s="148">
        <f t="shared" si="84"/>
        <v>0</v>
      </c>
      <c r="R257" s="148">
        <f t="shared" si="84"/>
        <v>0</v>
      </c>
    </row>
    <row r="258" spans="1:18" ht="55.5" customHeight="1">
      <c r="A258" s="161"/>
      <c r="B258" s="150">
        <v>85213</v>
      </c>
      <c r="C258" s="150"/>
      <c r="D258" s="170" t="s">
        <v>313</v>
      </c>
      <c r="E258" s="152">
        <f aca="true" t="shared" si="85" ref="E258:R258">E259</f>
        <v>54000</v>
      </c>
      <c r="F258" s="152">
        <f t="shared" si="85"/>
        <v>54000</v>
      </c>
      <c r="G258" s="152">
        <f t="shared" si="85"/>
        <v>54000</v>
      </c>
      <c r="H258" s="152">
        <f t="shared" si="85"/>
        <v>0</v>
      </c>
      <c r="I258" s="152">
        <f t="shared" si="85"/>
        <v>54000</v>
      </c>
      <c r="J258" s="152">
        <f t="shared" si="85"/>
        <v>0</v>
      </c>
      <c r="K258" s="152">
        <f t="shared" si="85"/>
        <v>0</v>
      </c>
      <c r="L258" s="152">
        <f t="shared" si="85"/>
        <v>0</v>
      </c>
      <c r="M258" s="152">
        <f t="shared" si="85"/>
        <v>0</v>
      </c>
      <c r="N258" s="152">
        <f t="shared" si="85"/>
        <v>0</v>
      </c>
      <c r="O258" s="152">
        <f t="shared" si="85"/>
        <v>0</v>
      </c>
      <c r="P258" s="152">
        <f t="shared" si="85"/>
        <v>0</v>
      </c>
      <c r="Q258" s="152">
        <f t="shared" si="85"/>
        <v>0</v>
      </c>
      <c r="R258" s="152">
        <f t="shared" si="85"/>
        <v>0</v>
      </c>
    </row>
    <row r="259" spans="1:18" ht="22.5" customHeight="1">
      <c r="A259" s="153"/>
      <c r="B259" s="154"/>
      <c r="C259" s="154">
        <v>4130</v>
      </c>
      <c r="D259" s="215" t="s">
        <v>314</v>
      </c>
      <c r="E259" s="155">
        <f>F259+O259</f>
        <v>54000</v>
      </c>
      <c r="F259" s="155">
        <f>G259+K259+L259+J259+N259+M259</f>
        <v>54000</v>
      </c>
      <c r="G259" s="155">
        <f>H259+I259</f>
        <v>54000</v>
      </c>
      <c r="H259" s="157"/>
      <c r="I259" s="157">
        <f>'zał 2'!E104</f>
        <v>54000</v>
      </c>
      <c r="J259" s="157"/>
      <c r="K259" s="157"/>
      <c r="L259" s="157"/>
      <c r="M259" s="157"/>
      <c r="N259" s="157"/>
      <c r="O259" s="157"/>
      <c r="P259" s="157"/>
      <c r="Q259" s="156"/>
      <c r="R259" s="156"/>
    </row>
    <row r="260" spans="1:18" ht="39" customHeight="1">
      <c r="A260" s="150"/>
      <c r="B260" s="150">
        <v>85214</v>
      </c>
      <c r="C260" s="150"/>
      <c r="D260" s="161" t="s">
        <v>315</v>
      </c>
      <c r="E260" s="152">
        <f aca="true" t="shared" si="86" ref="E260:N260">E261+E262</f>
        <v>784000</v>
      </c>
      <c r="F260" s="152">
        <f t="shared" si="86"/>
        <v>784000</v>
      </c>
      <c r="G260" s="152">
        <f t="shared" si="86"/>
        <v>270000</v>
      </c>
      <c r="H260" s="152">
        <f t="shared" si="86"/>
        <v>0</v>
      </c>
      <c r="I260" s="152">
        <f t="shared" si="86"/>
        <v>270000</v>
      </c>
      <c r="J260" s="152">
        <f t="shared" si="86"/>
        <v>0</v>
      </c>
      <c r="K260" s="152">
        <f t="shared" si="86"/>
        <v>514000</v>
      </c>
      <c r="L260" s="152">
        <f t="shared" si="86"/>
        <v>0</v>
      </c>
      <c r="M260" s="152">
        <f t="shared" si="86"/>
        <v>0</v>
      </c>
      <c r="N260" s="152">
        <f t="shared" si="86"/>
        <v>0</v>
      </c>
      <c r="O260" s="152">
        <f>T261+O262</f>
        <v>0</v>
      </c>
      <c r="P260" s="152">
        <f>P261+P262</f>
        <v>0</v>
      </c>
      <c r="Q260" s="152">
        <f>Q261+Q262</f>
        <v>0</v>
      </c>
      <c r="R260" s="152">
        <f>R261+R262</f>
        <v>0</v>
      </c>
    </row>
    <row r="261" spans="1:18" ht="22.5" customHeight="1">
      <c r="A261" s="150"/>
      <c r="B261" s="154"/>
      <c r="C261" s="154">
        <v>3110</v>
      </c>
      <c r="D261" s="153" t="s">
        <v>316</v>
      </c>
      <c r="E261" s="155">
        <f>F261+O261</f>
        <v>514000</v>
      </c>
      <c r="F261" s="155">
        <f>G261+K261+L261+J261+N261+M261</f>
        <v>514000</v>
      </c>
      <c r="G261" s="155">
        <f>H261+I261</f>
        <v>0</v>
      </c>
      <c r="H261" s="156"/>
      <c r="I261" s="156"/>
      <c r="J261" s="156"/>
      <c r="K261" s="157">
        <f>130000+'zał 2'!F106</f>
        <v>514000</v>
      </c>
      <c r="L261" s="156"/>
      <c r="M261" s="156"/>
      <c r="N261" s="158"/>
      <c r="O261" s="156"/>
      <c r="P261" s="156"/>
      <c r="Q261" s="156"/>
      <c r="R261" s="156"/>
    </row>
    <row r="262" spans="1:18" ht="22.5" customHeight="1">
      <c r="A262" s="150"/>
      <c r="B262" s="154"/>
      <c r="C262" s="154">
        <v>4330</v>
      </c>
      <c r="D262" s="153" t="s">
        <v>317</v>
      </c>
      <c r="E262" s="155">
        <f>F262+O262</f>
        <v>270000</v>
      </c>
      <c r="F262" s="155">
        <f>G262+K262+L262+J262+N262+M262</f>
        <v>270000</v>
      </c>
      <c r="G262" s="155">
        <f>H262+I262</f>
        <v>270000</v>
      </c>
      <c r="H262" s="156"/>
      <c r="I262" s="157">
        <v>270000</v>
      </c>
      <c r="J262" s="156"/>
      <c r="K262" s="156"/>
      <c r="L262" s="156"/>
      <c r="M262" s="156"/>
      <c r="N262" s="156"/>
      <c r="O262" s="156"/>
      <c r="P262" s="156"/>
      <c r="Q262" s="156"/>
      <c r="R262" s="156"/>
    </row>
    <row r="263" spans="1:18" ht="22.5" customHeight="1">
      <c r="A263" s="150"/>
      <c r="B263" s="150">
        <v>85215</v>
      </c>
      <c r="C263" s="150"/>
      <c r="D263" s="161" t="s">
        <v>318</v>
      </c>
      <c r="E263" s="152">
        <f aca="true" t="shared" si="87" ref="E263:R263">SUM(E264:E264)</f>
        <v>660000</v>
      </c>
      <c r="F263" s="152">
        <f t="shared" si="87"/>
        <v>660000</v>
      </c>
      <c r="G263" s="152">
        <f t="shared" si="87"/>
        <v>0</v>
      </c>
      <c r="H263" s="152">
        <f t="shared" si="87"/>
        <v>0</v>
      </c>
      <c r="I263" s="152">
        <f t="shared" si="87"/>
        <v>0</v>
      </c>
      <c r="J263" s="152">
        <f t="shared" si="87"/>
        <v>0</v>
      </c>
      <c r="K263" s="152">
        <f t="shared" si="87"/>
        <v>660000</v>
      </c>
      <c r="L263" s="152">
        <f t="shared" si="87"/>
        <v>0</v>
      </c>
      <c r="M263" s="152">
        <f t="shared" si="87"/>
        <v>0</v>
      </c>
      <c r="N263" s="152">
        <f t="shared" si="87"/>
        <v>0</v>
      </c>
      <c r="O263" s="152">
        <f t="shared" si="87"/>
        <v>0</v>
      </c>
      <c r="P263" s="152">
        <f t="shared" si="87"/>
        <v>0</v>
      </c>
      <c r="Q263" s="152">
        <f t="shared" si="87"/>
        <v>0</v>
      </c>
      <c r="R263" s="152">
        <f t="shared" si="87"/>
        <v>0</v>
      </c>
    </row>
    <row r="264" spans="1:18" ht="22.5" customHeight="1">
      <c r="A264" s="154"/>
      <c r="B264" s="154"/>
      <c r="C264" s="154">
        <v>3110</v>
      </c>
      <c r="D264" s="153" t="s">
        <v>319</v>
      </c>
      <c r="E264" s="155">
        <f>F264+O264</f>
        <v>660000</v>
      </c>
      <c r="F264" s="155">
        <f>G264+K264+L264+J264+N264+M264</f>
        <v>660000</v>
      </c>
      <c r="G264" s="155">
        <f>H264+I264</f>
        <v>0</v>
      </c>
      <c r="H264" s="156"/>
      <c r="I264" s="156"/>
      <c r="J264" s="156"/>
      <c r="K264" s="157">
        <f>670000-10000</f>
        <v>660000</v>
      </c>
      <c r="L264" s="156"/>
      <c r="M264" s="156"/>
      <c r="N264" s="158"/>
      <c r="O264" s="156"/>
      <c r="P264" s="156"/>
      <c r="Q264" s="156"/>
      <c r="R264" s="156"/>
    </row>
    <row r="265" spans="1:18" s="135" customFormat="1" ht="22.5" customHeight="1">
      <c r="A265" s="150"/>
      <c r="B265" s="150">
        <v>85216</v>
      </c>
      <c r="C265" s="150"/>
      <c r="D265" s="170" t="s">
        <v>136</v>
      </c>
      <c r="E265" s="152">
        <f aca="true" t="shared" si="88" ref="E265:R265">E266</f>
        <v>414000</v>
      </c>
      <c r="F265" s="152">
        <f t="shared" si="88"/>
        <v>414000</v>
      </c>
      <c r="G265" s="152">
        <f t="shared" si="88"/>
        <v>0</v>
      </c>
      <c r="H265" s="152">
        <f t="shared" si="88"/>
        <v>0</v>
      </c>
      <c r="I265" s="152">
        <f t="shared" si="88"/>
        <v>0</v>
      </c>
      <c r="J265" s="152">
        <f t="shared" si="88"/>
        <v>0</v>
      </c>
      <c r="K265" s="152">
        <f t="shared" si="88"/>
        <v>414000</v>
      </c>
      <c r="L265" s="152">
        <f t="shared" si="88"/>
        <v>0</v>
      </c>
      <c r="M265" s="152">
        <f t="shared" si="88"/>
        <v>0</v>
      </c>
      <c r="N265" s="152">
        <f t="shared" si="88"/>
        <v>0</v>
      </c>
      <c r="O265" s="152">
        <f t="shared" si="88"/>
        <v>0</v>
      </c>
      <c r="P265" s="152">
        <f t="shared" si="88"/>
        <v>0</v>
      </c>
      <c r="Q265" s="152">
        <f t="shared" si="88"/>
        <v>0</v>
      </c>
      <c r="R265" s="152">
        <f t="shared" si="88"/>
        <v>0</v>
      </c>
    </row>
    <row r="266" spans="1:18" ht="22.5" customHeight="1">
      <c r="A266" s="154"/>
      <c r="B266" s="154"/>
      <c r="C266" s="154">
        <v>3110</v>
      </c>
      <c r="D266" s="153" t="s">
        <v>319</v>
      </c>
      <c r="E266" s="155">
        <f>F266+O266</f>
        <v>414000</v>
      </c>
      <c r="F266" s="155">
        <f>G266+K266+L266+J266+N266+M266</f>
        <v>414000</v>
      </c>
      <c r="G266" s="155">
        <f>H266+I266</f>
        <v>0</v>
      </c>
      <c r="H266" s="156"/>
      <c r="I266" s="156"/>
      <c r="J266" s="156"/>
      <c r="K266" s="156">
        <f>'zał 2'!E108</f>
        <v>414000</v>
      </c>
      <c r="L266" s="156"/>
      <c r="M266" s="156"/>
      <c r="N266" s="156"/>
      <c r="O266" s="156"/>
      <c r="P266" s="156"/>
      <c r="Q266" s="156"/>
      <c r="R266" s="156"/>
    </row>
    <row r="267" spans="1:18" ht="22.5" customHeight="1">
      <c r="A267" s="150"/>
      <c r="B267" s="150">
        <v>85219</v>
      </c>
      <c r="C267" s="150"/>
      <c r="D267" s="161" t="s">
        <v>320</v>
      </c>
      <c r="E267" s="152">
        <f aca="true" t="shared" si="89" ref="E267:R267">SUM(E268:E285)</f>
        <v>1029706</v>
      </c>
      <c r="F267" s="152">
        <f t="shared" si="89"/>
        <v>1029706</v>
      </c>
      <c r="G267" s="152">
        <f t="shared" si="89"/>
        <v>1029706</v>
      </c>
      <c r="H267" s="152">
        <f t="shared" si="89"/>
        <v>885650</v>
      </c>
      <c r="I267" s="152">
        <f t="shared" si="89"/>
        <v>144056</v>
      </c>
      <c r="J267" s="152">
        <f t="shared" si="89"/>
        <v>0</v>
      </c>
      <c r="K267" s="152">
        <f t="shared" si="89"/>
        <v>0</v>
      </c>
      <c r="L267" s="152">
        <f t="shared" si="89"/>
        <v>0</v>
      </c>
      <c r="M267" s="152">
        <f t="shared" si="89"/>
        <v>0</v>
      </c>
      <c r="N267" s="152">
        <f t="shared" si="89"/>
        <v>0</v>
      </c>
      <c r="O267" s="152">
        <f t="shared" si="89"/>
        <v>0</v>
      </c>
      <c r="P267" s="152">
        <f t="shared" si="89"/>
        <v>0</v>
      </c>
      <c r="Q267" s="152">
        <f t="shared" si="89"/>
        <v>0</v>
      </c>
      <c r="R267" s="152">
        <f t="shared" si="89"/>
        <v>0</v>
      </c>
    </row>
    <row r="268" spans="1:18" ht="22.5" customHeight="1">
      <c r="A268" s="154"/>
      <c r="B268" s="154"/>
      <c r="C268" s="154">
        <v>4010</v>
      </c>
      <c r="D268" s="215" t="s">
        <v>265</v>
      </c>
      <c r="E268" s="155">
        <f aca="true" t="shared" si="90" ref="E268:E285">F268+O268</f>
        <v>685200</v>
      </c>
      <c r="F268" s="155">
        <f aca="true" t="shared" si="91" ref="F268:F285">G268+K268+L268+J268+N268+M268</f>
        <v>685200</v>
      </c>
      <c r="G268" s="155">
        <f aca="true" t="shared" si="92" ref="G268:G285">H268+I268</f>
        <v>685200</v>
      </c>
      <c r="H268" s="157">
        <v>685200</v>
      </c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</row>
    <row r="269" spans="1:18" ht="22.5" customHeight="1">
      <c r="A269" s="154"/>
      <c r="B269" s="154"/>
      <c r="C269" s="154">
        <v>4040</v>
      </c>
      <c r="D269" s="215" t="s">
        <v>225</v>
      </c>
      <c r="E269" s="155">
        <f t="shared" si="90"/>
        <v>59500</v>
      </c>
      <c r="F269" s="155">
        <f t="shared" si="91"/>
        <v>59500</v>
      </c>
      <c r="G269" s="155">
        <f t="shared" si="92"/>
        <v>59500</v>
      </c>
      <c r="H269" s="157">
        <f>49500+10000</f>
        <v>59500</v>
      </c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</row>
    <row r="270" spans="1:18" ht="22.5" customHeight="1">
      <c r="A270" s="154"/>
      <c r="B270" s="154"/>
      <c r="C270" s="154">
        <v>4110</v>
      </c>
      <c r="D270" s="215" t="s">
        <v>226</v>
      </c>
      <c r="E270" s="155">
        <f t="shared" si="90"/>
        <v>113950</v>
      </c>
      <c r="F270" s="155">
        <f t="shared" si="91"/>
        <v>113950</v>
      </c>
      <c r="G270" s="155">
        <f t="shared" si="92"/>
        <v>113950</v>
      </c>
      <c r="H270" s="157">
        <v>113950</v>
      </c>
      <c r="I270" s="157"/>
      <c r="J270" s="157"/>
      <c r="K270" s="157"/>
      <c r="L270" s="157"/>
      <c r="M270" s="156"/>
      <c r="N270" s="156"/>
      <c r="O270" s="156"/>
      <c r="P270" s="156"/>
      <c r="Q270" s="156"/>
      <c r="R270" s="156"/>
    </row>
    <row r="271" spans="1:18" ht="22.5" customHeight="1">
      <c r="A271" s="154"/>
      <c r="B271" s="154"/>
      <c r="C271" s="154">
        <v>4120</v>
      </c>
      <c r="D271" s="215" t="s">
        <v>227</v>
      </c>
      <c r="E271" s="155">
        <f t="shared" si="90"/>
        <v>18000</v>
      </c>
      <c r="F271" s="155">
        <f t="shared" si="91"/>
        <v>18000</v>
      </c>
      <c r="G271" s="155">
        <f t="shared" si="92"/>
        <v>18000</v>
      </c>
      <c r="H271" s="157">
        <v>18000</v>
      </c>
      <c r="I271" s="157"/>
      <c r="J271" s="157"/>
      <c r="K271" s="157"/>
      <c r="L271" s="157"/>
      <c r="M271" s="156"/>
      <c r="N271" s="156"/>
      <c r="O271" s="156"/>
      <c r="P271" s="156"/>
      <c r="Q271" s="156"/>
      <c r="R271" s="156"/>
    </row>
    <row r="272" spans="1:18" ht="22.5" customHeight="1">
      <c r="A272" s="154"/>
      <c r="B272" s="154"/>
      <c r="C272" s="154">
        <v>4170</v>
      </c>
      <c r="D272" s="215" t="s">
        <v>321</v>
      </c>
      <c r="E272" s="155">
        <f t="shared" si="90"/>
        <v>9000</v>
      </c>
      <c r="F272" s="155">
        <f t="shared" si="91"/>
        <v>9000</v>
      </c>
      <c r="G272" s="155">
        <f t="shared" si="92"/>
        <v>9000</v>
      </c>
      <c r="H272" s="156">
        <v>9000</v>
      </c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</row>
    <row r="273" spans="1:18" ht="22.5" customHeight="1">
      <c r="A273" s="154"/>
      <c r="B273" s="154"/>
      <c r="C273" s="154">
        <v>4210</v>
      </c>
      <c r="D273" s="215" t="s">
        <v>276</v>
      </c>
      <c r="E273" s="155">
        <f t="shared" si="90"/>
        <v>44300</v>
      </c>
      <c r="F273" s="155">
        <f t="shared" si="91"/>
        <v>44300</v>
      </c>
      <c r="G273" s="155">
        <f t="shared" si="92"/>
        <v>44300</v>
      </c>
      <c r="H273" s="156"/>
      <c r="I273" s="157">
        <v>44300</v>
      </c>
      <c r="J273" s="157"/>
      <c r="K273" s="157"/>
      <c r="L273" s="157"/>
      <c r="M273" s="156"/>
      <c r="N273" s="156"/>
      <c r="O273" s="156"/>
      <c r="P273" s="156"/>
      <c r="Q273" s="156"/>
      <c r="R273" s="156"/>
    </row>
    <row r="274" spans="1:18" ht="22.5" customHeight="1">
      <c r="A274" s="154"/>
      <c r="B274" s="154"/>
      <c r="C274" s="154">
        <v>4260</v>
      </c>
      <c r="D274" s="215" t="s">
        <v>267</v>
      </c>
      <c r="E274" s="155">
        <f t="shared" si="90"/>
        <v>20800</v>
      </c>
      <c r="F274" s="155">
        <f t="shared" si="91"/>
        <v>20800</v>
      </c>
      <c r="G274" s="155">
        <f t="shared" si="92"/>
        <v>20800</v>
      </c>
      <c r="H274" s="156"/>
      <c r="I274" s="157">
        <v>20800</v>
      </c>
      <c r="J274" s="157"/>
      <c r="K274" s="157"/>
      <c r="L274" s="157"/>
      <c r="M274" s="156"/>
      <c r="N274" s="156"/>
      <c r="O274" s="156"/>
      <c r="P274" s="156"/>
      <c r="Q274" s="156"/>
      <c r="R274" s="156"/>
    </row>
    <row r="275" spans="1:18" ht="22.5" customHeight="1">
      <c r="A275" s="154"/>
      <c r="B275" s="154"/>
      <c r="C275" s="154">
        <v>4270</v>
      </c>
      <c r="D275" s="215" t="s">
        <v>212</v>
      </c>
      <c r="E275" s="155">
        <f t="shared" si="90"/>
        <v>5000</v>
      </c>
      <c r="F275" s="155">
        <f t="shared" si="91"/>
        <v>5000</v>
      </c>
      <c r="G275" s="155">
        <f t="shared" si="92"/>
        <v>5000</v>
      </c>
      <c r="H275" s="156"/>
      <c r="I275" s="157">
        <v>5000</v>
      </c>
      <c r="J275" s="157"/>
      <c r="K275" s="157"/>
      <c r="L275" s="157"/>
      <c r="M275" s="156"/>
      <c r="N275" s="156"/>
      <c r="O275" s="156"/>
      <c r="P275" s="156"/>
      <c r="Q275" s="156"/>
      <c r="R275" s="156"/>
    </row>
    <row r="276" spans="1:18" ht="22.5" customHeight="1">
      <c r="A276" s="154"/>
      <c r="B276" s="154"/>
      <c r="C276" s="154">
        <v>4280</v>
      </c>
      <c r="D276" s="171" t="s">
        <v>268</v>
      </c>
      <c r="E276" s="155">
        <f t="shared" si="90"/>
        <v>500</v>
      </c>
      <c r="F276" s="155">
        <f t="shared" si="91"/>
        <v>500</v>
      </c>
      <c r="G276" s="155">
        <f t="shared" si="92"/>
        <v>500</v>
      </c>
      <c r="H276" s="156"/>
      <c r="I276" s="157">
        <v>500</v>
      </c>
      <c r="J276" s="157"/>
      <c r="K276" s="157"/>
      <c r="L276" s="157"/>
      <c r="M276" s="156"/>
      <c r="N276" s="156"/>
      <c r="O276" s="156"/>
      <c r="P276" s="156"/>
      <c r="Q276" s="156"/>
      <c r="R276" s="156"/>
    </row>
    <row r="277" spans="1:18" ht="22.5" customHeight="1">
      <c r="A277" s="154"/>
      <c r="B277" s="154"/>
      <c r="C277" s="154">
        <v>4300</v>
      </c>
      <c r="D277" s="215" t="s">
        <v>205</v>
      </c>
      <c r="E277" s="155">
        <f t="shared" si="90"/>
        <v>30000</v>
      </c>
      <c r="F277" s="155">
        <f t="shared" si="91"/>
        <v>30000</v>
      </c>
      <c r="G277" s="155">
        <f t="shared" si="92"/>
        <v>30000</v>
      </c>
      <c r="H277" s="156"/>
      <c r="I277" s="157">
        <v>30000</v>
      </c>
      <c r="J277" s="157"/>
      <c r="K277" s="157"/>
      <c r="L277" s="157"/>
      <c r="M277" s="156"/>
      <c r="N277" s="156"/>
      <c r="O277" s="156"/>
      <c r="P277" s="156"/>
      <c r="Q277" s="156"/>
      <c r="R277" s="156"/>
    </row>
    <row r="278" spans="1:18" ht="22.5" customHeight="1">
      <c r="A278" s="154"/>
      <c r="B278" s="154"/>
      <c r="C278" s="154">
        <v>4350</v>
      </c>
      <c r="D278" s="215" t="s">
        <v>234</v>
      </c>
      <c r="E278" s="155">
        <f t="shared" si="90"/>
        <v>1800</v>
      </c>
      <c r="F278" s="155">
        <f t="shared" si="91"/>
        <v>1800</v>
      </c>
      <c r="G278" s="155">
        <f t="shared" si="92"/>
        <v>1800</v>
      </c>
      <c r="H278" s="156"/>
      <c r="I278" s="157">
        <v>1800</v>
      </c>
      <c r="J278" s="157"/>
      <c r="K278" s="157"/>
      <c r="L278" s="157"/>
      <c r="M278" s="156"/>
      <c r="N278" s="156"/>
      <c r="O278" s="156"/>
      <c r="P278" s="156"/>
      <c r="Q278" s="156"/>
      <c r="R278" s="156"/>
    </row>
    <row r="279" spans="1:18" ht="36.75" customHeight="1">
      <c r="A279" s="154"/>
      <c r="B279" s="154"/>
      <c r="C279" s="154">
        <v>4360</v>
      </c>
      <c r="D279" s="215" t="s">
        <v>322</v>
      </c>
      <c r="E279" s="155">
        <f t="shared" si="90"/>
        <v>1600</v>
      </c>
      <c r="F279" s="155">
        <f t="shared" si="91"/>
        <v>1600</v>
      </c>
      <c r="G279" s="155">
        <f t="shared" si="92"/>
        <v>1600</v>
      </c>
      <c r="H279" s="156"/>
      <c r="I279" s="157">
        <v>1600</v>
      </c>
      <c r="J279" s="157"/>
      <c r="K279" s="157"/>
      <c r="L279" s="157"/>
      <c r="M279" s="156"/>
      <c r="N279" s="156"/>
      <c r="O279" s="156"/>
      <c r="P279" s="156"/>
      <c r="Q279" s="156"/>
      <c r="R279" s="156"/>
    </row>
    <row r="280" spans="1:18" ht="36.75" customHeight="1">
      <c r="A280" s="154"/>
      <c r="B280" s="154"/>
      <c r="C280" s="154">
        <v>4370</v>
      </c>
      <c r="D280" s="215" t="s">
        <v>323</v>
      </c>
      <c r="E280" s="155">
        <f t="shared" si="90"/>
        <v>2000</v>
      </c>
      <c r="F280" s="155">
        <f t="shared" si="91"/>
        <v>2000</v>
      </c>
      <c r="G280" s="155">
        <f t="shared" si="92"/>
        <v>2000</v>
      </c>
      <c r="H280" s="156"/>
      <c r="I280" s="157">
        <v>2000</v>
      </c>
      <c r="J280" s="157"/>
      <c r="K280" s="157"/>
      <c r="L280" s="157"/>
      <c r="M280" s="156"/>
      <c r="N280" s="156"/>
      <c r="O280" s="156"/>
      <c r="P280" s="156"/>
      <c r="Q280" s="156"/>
      <c r="R280" s="156"/>
    </row>
    <row r="281" spans="1:18" ht="22.5" customHeight="1">
      <c r="A281" s="154"/>
      <c r="B281" s="154"/>
      <c r="C281" s="154">
        <v>4410</v>
      </c>
      <c r="D281" s="215" t="s">
        <v>290</v>
      </c>
      <c r="E281" s="155">
        <f t="shared" si="90"/>
        <v>3000</v>
      </c>
      <c r="F281" s="155">
        <f t="shared" si="91"/>
        <v>3000</v>
      </c>
      <c r="G281" s="155">
        <f t="shared" si="92"/>
        <v>3000</v>
      </c>
      <c r="H281" s="156"/>
      <c r="I281" s="157">
        <v>3000</v>
      </c>
      <c r="J281" s="157"/>
      <c r="K281" s="157"/>
      <c r="L281" s="157"/>
      <c r="M281" s="156"/>
      <c r="N281" s="156"/>
      <c r="O281" s="156"/>
      <c r="P281" s="156"/>
      <c r="Q281" s="156"/>
      <c r="R281" s="156"/>
    </row>
    <row r="282" spans="1:18" ht="22.5" customHeight="1">
      <c r="A282" s="154"/>
      <c r="B282" s="154"/>
      <c r="C282" s="154">
        <v>4430</v>
      </c>
      <c r="D282" s="215" t="s">
        <v>214</v>
      </c>
      <c r="E282" s="155">
        <f t="shared" si="90"/>
        <v>5000</v>
      </c>
      <c r="F282" s="155">
        <f t="shared" si="91"/>
        <v>5000</v>
      </c>
      <c r="G282" s="155">
        <f t="shared" si="92"/>
        <v>5000</v>
      </c>
      <c r="H282" s="156"/>
      <c r="I282" s="157">
        <v>5000</v>
      </c>
      <c r="J282" s="157"/>
      <c r="K282" s="157"/>
      <c r="L282" s="157"/>
      <c r="M282" s="156"/>
      <c r="N282" s="156"/>
      <c r="O282" s="156"/>
      <c r="P282" s="156"/>
      <c r="Q282" s="156"/>
      <c r="R282" s="156"/>
    </row>
    <row r="283" spans="1:18" ht="36.75" customHeight="1">
      <c r="A283" s="154"/>
      <c r="B283" s="154"/>
      <c r="C283" s="154">
        <v>4440</v>
      </c>
      <c r="D283" s="215" t="s">
        <v>271</v>
      </c>
      <c r="E283" s="155">
        <f t="shared" si="90"/>
        <v>23056</v>
      </c>
      <c r="F283" s="155">
        <f t="shared" si="91"/>
        <v>23056</v>
      </c>
      <c r="G283" s="155">
        <f t="shared" si="92"/>
        <v>23056</v>
      </c>
      <c r="H283" s="156"/>
      <c r="I283" s="157">
        <v>23056</v>
      </c>
      <c r="J283" s="157"/>
      <c r="K283" s="157"/>
      <c r="L283" s="157"/>
      <c r="M283" s="156"/>
      <c r="N283" s="156"/>
      <c r="O283" s="156"/>
      <c r="P283" s="156"/>
      <c r="Q283" s="156"/>
      <c r="R283" s="156"/>
    </row>
    <row r="284" spans="1:18" ht="22.5" customHeight="1">
      <c r="A284" s="175"/>
      <c r="B284" s="175"/>
      <c r="C284" s="176">
        <v>4480</v>
      </c>
      <c r="D284" s="177" t="s">
        <v>272</v>
      </c>
      <c r="E284" s="155">
        <f t="shared" si="90"/>
        <v>5000</v>
      </c>
      <c r="F284" s="155">
        <f t="shared" si="91"/>
        <v>5000</v>
      </c>
      <c r="G284" s="155">
        <f t="shared" si="92"/>
        <v>5000</v>
      </c>
      <c r="H284" s="157">
        <f>'zał 15'!H171+'zał 16'!H169+'zał 17'!H171</f>
        <v>0</v>
      </c>
      <c r="I284" s="157">
        <v>5000</v>
      </c>
      <c r="J284" s="157">
        <f>'zał 15'!J171+'zał 16'!J169+'zał 17'!J171</f>
        <v>0</v>
      </c>
      <c r="K284" s="157">
        <f>'zał 15'!K171+'zał 16'!K169+'zał 17'!K171</f>
        <v>0</v>
      </c>
      <c r="L284" s="157"/>
      <c r="M284" s="156"/>
      <c r="N284" s="156"/>
      <c r="O284" s="156"/>
      <c r="P284" s="156"/>
      <c r="Q284" s="156"/>
      <c r="R284" s="156"/>
    </row>
    <row r="285" spans="1:18" ht="36.75" customHeight="1">
      <c r="A285" s="154"/>
      <c r="B285" s="154"/>
      <c r="C285" s="154">
        <v>4700</v>
      </c>
      <c r="D285" s="215" t="s">
        <v>312</v>
      </c>
      <c r="E285" s="155">
        <f t="shared" si="90"/>
        <v>2000</v>
      </c>
      <c r="F285" s="155">
        <f t="shared" si="91"/>
        <v>2000</v>
      </c>
      <c r="G285" s="155">
        <f t="shared" si="92"/>
        <v>2000</v>
      </c>
      <c r="H285" s="156"/>
      <c r="I285" s="157">
        <v>2000</v>
      </c>
      <c r="J285" s="157"/>
      <c r="K285" s="157"/>
      <c r="L285" s="157"/>
      <c r="M285" s="156"/>
      <c r="N285" s="156"/>
      <c r="O285" s="156"/>
      <c r="P285" s="156"/>
      <c r="Q285" s="156"/>
      <c r="R285" s="156"/>
    </row>
    <row r="286" spans="1:18" ht="39" customHeight="1">
      <c r="A286" s="150"/>
      <c r="B286" s="150">
        <v>85228</v>
      </c>
      <c r="C286" s="150"/>
      <c r="D286" s="151" t="s">
        <v>140</v>
      </c>
      <c r="E286" s="152">
        <f aca="true" t="shared" si="93" ref="E286:R286">SUM(E287:E297)</f>
        <v>309252</v>
      </c>
      <c r="F286" s="152">
        <f t="shared" si="93"/>
        <v>309252</v>
      </c>
      <c r="G286" s="152">
        <f t="shared" si="93"/>
        <v>309252</v>
      </c>
      <c r="H286" s="152">
        <f t="shared" si="93"/>
        <v>292626</v>
      </c>
      <c r="I286" s="152">
        <f t="shared" si="93"/>
        <v>16626</v>
      </c>
      <c r="J286" s="152">
        <f t="shared" si="93"/>
        <v>0</v>
      </c>
      <c r="K286" s="152">
        <f t="shared" si="93"/>
        <v>0</v>
      </c>
      <c r="L286" s="152">
        <f t="shared" si="93"/>
        <v>0</v>
      </c>
      <c r="M286" s="152">
        <f t="shared" si="93"/>
        <v>0</v>
      </c>
      <c r="N286" s="152">
        <f t="shared" si="93"/>
        <v>0</v>
      </c>
      <c r="O286" s="152">
        <f t="shared" si="93"/>
        <v>0</v>
      </c>
      <c r="P286" s="152">
        <f t="shared" si="93"/>
        <v>0</v>
      </c>
      <c r="Q286" s="152">
        <f t="shared" si="93"/>
        <v>0</v>
      </c>
      <c r="R286" s="152">
        <f t="shared" si="93"/>
        <v>0</v>
      </c>
    </row>
    <row r="287" spans="1:18" ht="22.5" customHeight="1">
      <c r="A287" s="154"/>
      <c r="B287" s="154"/>
      <c r="C287" s="154">
        <v>4010</v>
      </c>
      <c r="D287" s="171" t="s">
        <v>224</v>
      </c>
      <c r="E287" s="155">
        <f aca="true" t="shared" si="94" ref="E287:E297">F287+O287</f>
        <v>228942</v>
      </c>
      <c r="F287" s="155">
        <f aca="true" t="shared" si="95" ref="F287:F297">G287+K287+L287+J287+N287+M287</f>
        <v>228942</v>
      </c>
      <c r="G287" s="155">
        <f aca="true" t="shared" si="96" ref="G287:G297">H287+I287</f>
        <v>228942</v>
      </c>
      <c r="H287" s="157">
        <f>198942+30000</f>
        <v>228942</v>
      </c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</row>
    <row r="288" spans="1:18" ht="22.5" customHeight="1">
      <c r="A288" s="154"/>
      <c r="B288" s="154"/>
      <c r="C288" s="154">
        <v>4040</v>
      </c>
      <c r="D288" s="171" t="s">
        <v>225</v>
      </c>
      <c r="E288" s="155">
        <f t="shared" si="94"/>
        <v>19087</v>
      </c>
      <c r="F288" s="155">
        <f t="shared" si="95"/>
        <v>19087</v>
      </c>
      <c r="G288" s="155">
        <f t="shared" si="96"/>
        <v>19087</v>
      </c>
      <c r="H288" s="157">
        <f>13087+6000</f>
        <v>19087</v>
      </c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</row>
    <row r="289" spans="1:18" ht="22.5" customHeight="1">
      <c r="A289" s="154"/>
      <c r="B289" s="154"/>
      <c r="C289" s="154">
        <v>4110</v>
      </c>
      <c r="D289" s="171" t="s">
        <v>226</v>
      </c>
      <c r="E289" s="155">
        <f t="shared" si="94"/>
        <v>36546</v>
      </c>
      <c r="F289" s="155">
        <f t="shared" si="95"/>
        <v>36546</v>
      </c>
      <c r="G289" s="155">
        <f t="shared" si="96"/>
        <v>36546</v>
      </c>
      <c r="H289" s="157">
        <v>36546</v>
      </c>
      <c r="I289" s="157"/>
      <c r="J289" s="157"/>
      <c r="K289" s="157"/>
      <c r="L289" s="157"/>
      <c r="M289" s="156"/>
      <c r="N289" s="156"/>
      <c r="O289" s="156"/>
      <c r="P289" s="156"/>
      <c r="Q289" s="156"/>
      <c r="R289" s="156"/>
    </row>
    <row r="290" spans="1:18" ht="22.5" customHeight="1">
      <c r="A290" s="154"/>
      <c r="B290" s="154"/>
      <c r="C290" s="154">
        <v>4120</v>
      </c>
      <c r="D290" s="171" t="s">
        <v>227</v>
      </c>
      <c r="E290" s="155">
        <f t="shared" si="94"/>
        <v>6051</v>
      </c>
      <c r="F290" s="155">
        <f t="shared" si="95"/>
        <v>6051</v>
      </c>
      <c r="G290" s="155">
        <f t="shared" si="96"/>
        <v>6051</v>
      </c>
      <c r="H290" s="157">
        <v>6051</v>
      </c>
      <c r="I290" s="157"/>
      <c r="J290" s="157"/>
      <c r="K290" s="157"/>
      <c r="L290" s="157"/>
      <c r="M290" s="156"/>
      <c r="N290" s="156"/>
      <c r="O290" s="156"/>
      <c r="P290" s="156"/>
      <c r="Q290" s="156"/>
      <c r="R290" s="156"/>
    </row>
    <row r="291" spans="1:18" ht="22.5" customHeight="1">
      <c r="A291" s="154"/>
      <c r="B291" s="154"/>
      <c r="C291" s="154">
        <v>4170</v>
      </c>
      <c r="D291" s="171" t="s">
        <v>229</v>
      </c>
      <c r="E291" s="155">
        <f t="shared" si="94"/>
        <v>2000</v>
      </c>
      <c r="F291" s="155">
        <f t="shared" si="95"/>
        <v>2000</v>
      </c>
      <c r="G291" s="155">
        <f t="shared" si="96"/>
        <v>2000</v>
      </c>
      <c r="H291" s="157">
        <f>8000-6000</f>
        <v>2000</v>
      </c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</row>
    <row r="292" spans="1:18" ht="22.5" customHeight="1">
      <c r="A292" s="154"/>
      <c r="B292" s="154"/>
      <c r="C292" s="154">
        <v>4210</v>
      </c>
      <c r="D292" s="171" t="s">
        <v>209</v>
      </c>
      <c r="E292" s="155">
        <f t="shared" si="94"/>
        <v>600</v>
      </c>
      <c r="F292" s="155">
        <f t="shared" si="95"/>
        <v>600</v>
      </c>
      <c r="G292" s="155">
        <f t="shared" si="96"/>
        <v>600</v>
      </c>
      <c r="H292" s="156"/>
      <c r="I292" s="157">
        <v>600</v>
      </c>
      <c r="J292" s="156"/>
      <c r="K292" s="156"/>
      <c r="L292" s="156"/>
      <c r="M292" s="156"/>
      <c r="N292" s="156"/>
      <c r="O292" s="156"/>
      <c r="P292" s="156"/>
      <c r="Q292" s="156"/>
      <c r="R292" s="156"/>
    </row>
    <row r="293" spans="1:18" ht="22.5" customHeight="1">
      <c r="A293" s="154"/>
      <c r="B293" s="154"/>
      <c r="C293" s="154">
        <v>4280</v>
      </c>
      <c r="D293" s="171" t="s">
        <v>268</v>
      </c>
      <c r="E293" s="155">
        <f t="shared" si="94"/>
        <v>600</v>
      </c>
      <c r="F293" s="155">
        <f t="shared" si="95"/>
        <v>600</v>
      </c>
      <c r="G293" s="155">
        <f t="shared" si="96"/>
        <v>600</v>
      </c>
      <c r="H293" s="156"/>
      <c r="I293" s="157">
        <v>600</v>
      </c>
      <c r="J293" s="156"/>
      <c r="K293" s="156"/>
      <c r="L293" s="156"/>
      <c r="M293" s="156"/>
      <c r="N293" s="156"/>
      <c r="O293" s="156"/>
      <c r="P293" s="156"/>
      <c r="Q293" s="156"/>
      <c r="R293" s="156"/>
    </row>
    <row r="294" spans="1:18" ht="22.5" customHeight="1">
      <c r="A294" s="154"/>
      <c r="B294" s="154"/>
      <c r="C294" s="154">
        <v>4300</v>
      </c>
      <c r="D294" s="171" t="s">
        <v>287</v>
      </c>
      <c r="E294" s="155">
        <f t="shared" si="94"/>
        <v>850</v>
      </c>
      <c r="F294" s="155">
        <f t="shared" si="95"/>
        <v>850</v>
      </c>
      <c r="G294" s="155">
        <f t="shared" si="96"/>
        <v>850</v>
      </c>
      <c r="H294" s="156"/>
      <c r="I294" s="157">
        <v>850</v>
      </c>
      <c r="J294" s="156"/>
      <c r="K294" s="156"/>
      <c r="L294" s="156"/>
      <c r="M294" s="156"/>
      <c r="N294" s="156"/>
      <c r="O294" s="156"/>
      <c r="P294" s="156"/>
      <c r="Q294" s="156"/>
      <c r="R294" s="156"/>
    </row>
    <row r="295" spans="1:18" ht="36.75" customHeight="1">
      <c r="A295" s="154"/>
      <c r="B295" s="154"/>
      <c r="C295" s="154">
        <v>4360</v>
      </c>
      <c r="D295" s="215" t="s">
        <v>322</v>
      </c>
      <c r="E295" s="155">
        <f t="shared" si="94"/>
        <v>1700</v>
      </c>
      <c r="F295" s="155">
        <f t="shared" si="95"/>
        <v>1700</v>
      </c>
      <c r="G295" s="155">
        <f t="shared" si="96"/>
        <v>1700</v>
      </c>
      <c r="H295" s="156"/>
      <c r="I295" s="157">
        <v>1700</v>
      </c>
      <c r="J295" s="156"/>
      <c r="K295" s="156"/>
      <c r="L295" s="156"/>
      <c r="M295" s="156"/>
      <c r="N295" s="156"/>
      <c r="O295" s="156"/>
      <c r="P295" s="156"/>
      <c r="Q295" s="156"/>
      <c r="R295" s="156"/>
    </row>
    <row r="296" spans="1:18" ht="22.5" customHeight="1">
      <c r="A296" s="154"/>
      <c r="B296" s="154"/>
      <c r="C296" s="154">
        <v>4410</v>
      </c>
      <c r="D296" s="171" t="s">
        <v>238</v>
      </c>
      <c r="E296" s="155">
        <f t="shared" si="94"/>
        <v>300</v>
      </c>
      <c r="F296" s="155">
        <f t="shared" si="95"/>
        <v>300</v>
      </c>
      <c r="G296" s="155">
        <f t="shared" si="96"/>
        <v>300</v>
      </c>
      <c r="H296" s="156"/>
      <c r="I296" s="157">
        <v>300</v>
      </c>
      <c r="J296" s="156"/>
      <c r="K296" s="156"/>
      <c r="L296" s="156"/>
      <c r="M296" s="156"/>
      <c r="N296" s="156"/>
      <c r="O296" s="156"/>
      <c r="P296" s="156"/>
      <c r="Q296" s="156"/>
      <c r="R296" s="156"/>
    </row>
    <row r="297" spans="1:18" ht="36.75" customHeight="1">
      <c r="A297" s="154"/>
      <c r="B297" s="154"/>
      <c r="C297" s="154">
        <v>4440</v>
      </c>
      <c r="D297" s="215" t="s">
        <v>271</v>
      </c>
      <c r="E297" s="155">
        <f t="shared" si="94"/>
        <v>12576</v>
      </c>
      <c r="F297" s="155">
        <f t="shared" si="95"/>
        <v>12576</v>
      </c>
      <c r="G297" s="155">
        <f t="shared" si="96"/>
        <v>12576</v>
      </c>
      <c r="H297" s="156"/>
      <c r="I297" s="157">
        <v>12576</v>
      </c>
      <c r="J297" s="156"/>
      <c r="K297" s="156"/>
      <c r="L297" s="156"/>
      <c r="M297" s="156"/>
      <c r="N297" s="156"/>
      <c r="O297" s="156"/>
      <c r="P297" s="156"/>
      <c r="Q297" s="156"/>
      <c r="R297" s="156"/>
    </row>
    <row r="298" spans="1:18" ht="22.5" customHeight="1">
      <c r="A298" s="150"/>
      <c r="B298" s="150">
        <v>85295</v>
      </c>
      <c r="C298" s="150"/>
      <c r="D298" s="151" t="s">
        <v>30</v>
      </c>
      <c r="E298" s="152">
        <f aca="true" t="shared" si="97" ref="E298:R298">SUM(E299:E301)</f>
        <v>396800</v>
      </c>
      <c r="F298" s="152">
        <f t="shared" si="97"/>
        <v>396800</v>
      </c>
      <c r="G298" s="152">
        <f t="shared" si="97"/>
        <v>4000</v>
      </c>
      <c r="H298" s="152">
        <f t="shared" si="97"/>
        <v>0</v>
      </c>
      <c r="I298" s="152">
        <f t="shared" si="97"/>
        <v>4000</v>
      </c>
      <c r="J298" s="152">
        <f t="shared" si="97"/>
        <v>10000</v>
      </c>
      <c r="K298" s="152">
        <f t="shared" si="97"/>
        <v>382800</v>
      </c>
      <c r="L298" s="152">
        <f t="shared" si="97"/>
        <v>0</v>
      </c>
      <c r="M298" s="152">
        <f t="shared" si="97"/>
        <v>0</v>
      </c>
      <c r="N298" s="152">
        <f t="shared" si="97"/>
        <v>0</v>
      </c>
      <c r="O298" s="152">
        <f t="shared" si="97"/>
        <v>0</v>
      </c>
      <c r="P298" s="152">
        <f t="shared" si="97"/>
        <v>0</v>
      </c>
      <c r="Q298" s="152">
        <f t="shared" si="97"/>
        <v>0</v>
      </c>
      <c r="R298" s="152">
        <f t="shared" si="97"/>
        <v>0</v>
      </c>
    </row>
    <row r="299" spans="1:18" ht="54" customHeight="1">
      <c r="A299" s="150"/>
      <c r="B299" s="150"/>
      <c r="C299" s="154">
        <v>2820</v>
      </c>
      <c r="D299" s="153" t="s">
        <v>324</v>
      </c>
      <c r="E299" s="155">
        <f>F299+O299</f>
        <v>10000</v>
      </c>
      <c r="F299" s="155">
        <f>G299+K299+L299+J299+N299+M299</f>
        <v>10000</v>
      </c>
      <c r="G299" s="155">
        <f>H299+I299</f>
        <v>0</v>
      </c>
      <c r="H299" s="152"/>
      <c r="I299" s="152"/>
      <c r="J299" s="157">
        <f>'zał 26'!E14</f>
        <v>10000</v>
      </c>
      <c r="K299" s="152"/>
      <c r="L299" s="152"/>
      <c r="M299" s="158"/>
      <c r="N299" s="152"/>
      <c r="O299" s="152"/>
      <c r="P299" s="152"/>
      <c r="Q299" s="152"/>
      <c r="R299" s="152"/>
    </row>
    <row r="300" spans="1:18" ht="22.5" customHeight="1">
      <c r="A300" s="154"/>
      <c r="B300" s="154"/>
      <c r="C300" s="154">
        <v>3110</v>
      </c>
      <c r="D300" s="171" t="s">
        <v>316</v>
      </c>
      <c r="E300" s="155">
        <f>F300+O300</f>
        <v>382800</v>
      </c>
      <c r="F300" s="155">
        <f>G300+K300+L300+J300+N300+M300</f>
        <v>382800</v>
      </c>
      <c r="G300" s="155">
        <f>H300+I300</f>
        <v>0</v>
      </c>
      <c r="H300" s="156"/>
      <c r="I300" s="156"/>
      <c r="J300" s="156"/>
      <c r="K300" s="157">
        <f>'zał 2'!E117+57000+97800</f>
        <v>382800</v>
      </c>
      <c r="L300" s="156"/>
      <c r="M300" s="156"/>
      <c r="N300" s="158"/>
      <c r="O300" s="156"/>
      <c r="P300" s="156"/>
      <c r="Q300" s="156"/>
      <c r="R300" s="156"/>
    </row>
    <row r="301" spans="1:18" ht="22.5" customHeight="1">
      <c r="A301" s="154"/>
      <c r="B301" s="154"/>
      <c r="C301" s="154">
        <v>4300</v>
      </c>
      <c r="D301" s="171" t="s">
        <v>205</v>
      </c>
      <c r="E301" s="155">
        <f>F301+O301</f>
        <v>4000</v>
      </c>
      <c r="F301" s="155">
        <f>G301+K301+L301+J301+N301+M301</f>
        <v>4000</v>
      </c>
      <c r="G301" s="155">
        <f>H301+I301</f>
        <v>4000</v>
      </c>
      <c r="H301" s="156"/>
      <c r="I301" s="156">
        <v>4000</v>
      </c>
      <c r="J301" s="156"/>
      <c r="K301" s="156"/>
      <c r="L301" s="156"/>
      <c r="M301" s="156"/>
      <c r="N301" s="156"/>
      <c r="O301" s="156"/>
      <c r="P301" s="156"/>
      <c r="Q301" s="156"/>
      <c r="R301" s="156"/>
    </row>
    <row r="302" spans="1:18" ht="22.5" customHeight="1">
      <c r="A302" s="201">
        <v>853</v>
      </c>
      <c r="B302" s="201"/>
      <c r="C302" s="202"/>
      <c r="D302" s="203" t="s">
        <v>145</v>
      </c>
      <c r="E302" s="216">
        <f aca="true" t="shared" si="98" ref="E302:R302">E303</f>
        <v>219000</v>
      </c>
      <c r="F302" s="216">
        <f t="shared" si="98"/>
        <v>219000</v>
      </c>
      <c r="G302" s="216">
        <f t="shared" si="98"/>
        <v>198432</v>
      </c>
      <c r="H302" s="216">
        <f t="shared" si="98"/>
        <v>96818</v>
      </c>
      <c r="I302" s="216">
        <f t="shared" si="98"/>
        <v>101614</v>
      </c>
      <c r="J302" s="216">
        <f t="shared" si="98"/>
        <v>0</v>
      </c>
      <c r="K302" s="216">
        <f t="shared" si="98"/>
        <v>20568</v>
      </c>
      <c r="L302" s="216">
        <f t="shared" si="98"/>
        <v>219000</v>
      </c>
      <c r="M302" s="216">
        <f t="shared" si="98"/>
        <v>0</v>
      </c>
      <c r="N302" s="216">
        <f t="shared" si="98"/>
        <v>0</v>
      </c>
      <c r="O302" s="216">
        <f t="shared" si="98"/>
        <v>0</v>
      </c>
      <c r="P302" s="216">
        <f t="shared" si="98"/>
        <v>0</v>
      </c>
      <c r="Q302" s="216">
        <f t="shared" si="98"/>
        <v>0</v>
      </c>
      <c r="R302" s="216">
        <f t="shared" si="98"/>
        <v>0</v>
      </c>
    </row>
    <row r="303" spans="1:18" ht="22.5" customHeight="1">
      <c r="A303" s="200"/>
      <c r="B303" s="217">
        <v>85395</v>
      </c>
      <c r="C303" s="160"/>
      <c r="D303" s="218" t="s">
        <v>30</v>
      </c>
      <c r="E303" s="219">
        <f aca="true" t="shared" si="99" ref="E303:R303">SUM(E304:E318)</f>
        <v>219000</v>
      </c>
      <c r="F303" s="219">
        <f t="shared" si="99"/>
        <v>219000</v>
      </c>
      <c r="G303" s="219">
        <f t="shared" si="99"/>
        <v>198432</v>
      </c>
      <c r="H303" s="219">
        <f t="shared" si="99"/>
        <v>96818</v>
      </c>
      <c r="I303" s="219">
        <f t="shared" si="99"/>
        <v>101614</v>
      </c>
      <c r="J303" s="219">
        <f t="shared" si="99"/>
        <v>0</v>
      </c>
      <c r="K303" s="219">
        <f t="shared" si="99"/>
        <v>20568</v>
      </c>
      <c r="L303" s="219">
        <f t="shared" si="99"/>
        <v>219000</v>
      </c>
      <c r="M303" s="219">
        <f t="shared" si="99"/>
        <v>0</v>
      </c>
      <c r="N303" s="219">
        <f t="shared" si="99"/>
        <v>0</v>
      </c>
      <c r="O303" s="219">
        <f t="shared" si="99"/>
        <v>0</v>
      </c>
      <c r="P303" s="219">
        <f t="shared" si="99"/>
        <v>0</v>
      </c>
      <c r="Q303" s="219">
        <f t="shared" si="99"/>
        <v>0</v>
      </c>
      <c r="R303" s="219">
        <f t="shared" si="99"/>
        <v>0</v>
      </c>
    </row>
    <row r="304" spans="1:18" ht="22.5" customHeight="1">
      <c r="A304" s="200"/>
      <c r="B304" s="200"/>
      <c r="C304" s="198">
        <v>3119</v>
      </c>
      <c r="D304" s="199" t="s">
        <v>325</v>
      </c>
      <c r="E304" s="155">
        <f aca="true" t="shared" si="100" ref="E304:E318">F304+O304</f>
        <v>20568</v>
      </c>
      <c r="F304" s="155">
        <f aca="true" t="shared" si="101" ref="F304:F318">G304+K304+J304+N304+M304</f>
        <v>20568</v>
      </c>
      <c r="G304" s="155">
        <f aca="true" t="shared" si="102" ref="G304:G318">H304+I304</f>
        <v>0</v>
      </c>
      <c r="H304" s="181"/>
      <c r="I304" s="181"/>
      <c r="J304" s="181"/>
      <c r="K304" s="197">
        <f>L304</f>
        <v>20568</v>
      </c>
      <c r="L304" s="197">
        <v>20568</v>
      </c>
      <c r="M304" s="181"/>
      <c r="N304" s="155"/>
      <c r="O304" s="155"/>
      <c r="P304" s="155"/>
      <c r="Q304" s="155"/>
      <c r="R304" s="156"/>
    </row>
    <row r="305" spans="1:18" ht="22.5" customHeight="1">
      <c r="A305" s="200"/>
      <c r="B305" s="200"/>
      <c r="C305" s="198">
        <v>4017</v>
      </c>
      <c r="D305" s="199" t="s">
        <v>265</v>
      </c>
      <c r="E305" s="155">
        <f t="shared" si="100"/>
        <v>31650</v>
      </c>
      <c r="F305" s="155">
        <f t="shared" si="101"/>
        <v>31650</v>
      </c>
      <c r="G305" s="155">
        <f t="shared" si="102"/>
        <v>31650</v>
      </c>
      <c r="H305" s="197">
        <f aca="true" t="shared" si="103" ref="H305:H313">L305</f>
        <v>31650</v>
      </c>
      <c r="I305" s="181"/>
      <c r="J305" s="181"/>
      <c r="K305" s="181"/>
      <c r="L305" s="197">
        <v>31650</v>
      </c>
      <c r="M305" s="181"/>
      <c r="N305" s="220"/>
      <c r="O305" s="220"/>
      <c r="P305" s="220"/>
      <c r="Q305" s="220"/>
      <c r="R305" s="156"/>
    </row>
    <row r="306" spans="1:18" ht="22.5" customHeight="1">
      <c r="A306" s="200"/>
      <c r="B306" s="200"/>
      <c r="C306" s="198">
        <v>4019</v>
      </c>
      <c r="D306" s="199" t="s">
        <v>265</v>
      </c>
      <c r="E306" s="155">
        <f t="shared" si="100"/>
        <v>7268</v>
      </c>
      <c r="F306" s="155">
        <f t="shared" si="101"/>
        <v>7268</v>
      </c>
      <c r="G306" s="155">
        <f t="shared" si="102"/>
        <v>7268</v>
      </c>
      <c r="H306" s="197">
        <f t="shared" si="103"/>
        <v>7268</v>
      </c>
      <c r="I306" s="181"/>
      <c r="J306" s="181"/>
      <c r="K306" s="181"/>
      <c r="L306" s="197">
        <v>7268</v>
      </c>
      <c r="M306" s="181"/>
      <c r="N306" s="221"/>
      <c r="O306" s="221"/>
      <c r="P306" s="221"/>
      <c r="Q306" s="221"/>
      <c r="R306" s="156"/>
    </row>
    <row r="307" spans="1:18" ht="22.5" customHeight="1">
      <c r="A307" s="200"/>
      <c r="B307" s="200"/>
      <c r="C307" s="198">
        <v>4117</v>
      </c>
      <c r="D307" s="199" t="s">
        <v>284</v>
      </c>
      <c r="E307" s="155">
        <f t="shared" si="100"/>
        <v>9500</v>
      </c>
      <c r="F307" s="155">
        <f t="shared" si="101"/>
        <v>9500</v>
      </c>
      <c r="G307" s="155">
        <f t="shared" si="102"/>
        <v>9500</v>
      </c>
      <c r="H307" s="197">
        <f t="shared" si="103"/>
        <v>9500</v>
      </c>
      <c r="I307" s="181"/>
      <c r="J307" s="181"/>
      <c r="K307" s="181"/>
      <c r="L307" s="197">
        <v>9500</v>
      </c>
      <c r="M307" s="181"/>
      <c r="N307" s="155"/>
      <c r="O307" s="155"/>
      <c r="P307" s="155"/>
      <c r="Q307" s="155"/>
      <c r="R307" s="156"/>
    </row>
    <row r="308" spans="1:18" ht="22.5" customHeight="1">
      <c r="A308" s="200"/>
      <c r="B308" s="200"/>
      <c r="C308" s="198">
        <v>4119</v>
      </c>
      <c r="D308" s="199" t="s">
        <v>284</v>
      </c>
      <c r="E308" s="155">
        <f t="shared" si="100"/>
        <v>1000</v>
      </c>
      <c r="F308" s="155">
        <f t="shared" si="101"/>
        <v>1000</v>
      </c>
      <c r="G308" s="155">
        <f t="shared" si="102"/>
        <v>1000</v>
      </c>
      <c r="H308" s="197">
        <f t="shared" si="103"/>
        <v>1000</v>
      </c>
      <c r="I308" s="181"/>
      <c r="J308" s="181"/>
      <c r="K308" s="181"/>
      <c r="L308" s="197">
        <v>1000</v>
      </c>
      <c r="M308" s="181"/>
      <c r="N308" s="155"/>
      <c r="O308" s="155"/>
      <c r="P308" s="155"/>
      <c r="Q308" s="178"/>
      <c r="R308" s="156"/>
    </row>
    <row r="309" spans="1:18" ht="22.5" customHeight="1">
      <c r="A309" s="200"/>
      <c r="B309" s="200"/>
      <c r="C309" s="198">
        <v>4127</v>
      </c>
      <c r="D309" s="199" t="s">
        <v>285</v>
      </c>
      <c r="E309" s="155">
        <f t="shared" si="100"/>
        <v>1250</v>
      </c>
      <c r="F309" s="155">
        <f t="shared" si="101"/>
        <v>1250</v>
      </c>
      <c r="G309" s="155">
        <f t="shared" si="102"/>
        <v>1250</v>
      </c>
      <c r="H309" s="197">
        <f t="shared" si="103"/>
        <v>1250</v>
      </c>
      <c r="I309" s="181"/>
      <c r="J309" s="181"/>
      <c r="K309" s="181"/>
      <c r="L309" s="197">
        <v>1250</v>
      </c>
      <c r="M309" s="181"/>
      <c r="N309" s="221"/>
      <c r="O309" s="221"/>
      <c r="P309" s="221"/>
      <c r="Q309" s="221"/>
      <c r="R309" s="156"/>
    </row>
    <row r="310" spans="1:18" ht="22.5" customHeight="1">
      <c r="A310" s="200"/>
      <c r="B310" s="200"/>
      <c r="C310" s="198">
        <v>4129</v>
      </c>
      <c r="D310" s="199" t="s">
        <v>285</v>
      </c>
      <c r="E310" s="155">
        <f t="shared" si="100"/>
        <v>150</v>
      </c>
      <c r="F310" s="155">
        <f t="shared" si="101"/>
        <v>150</v>
      </c>
      <c r="G310" s="155">
        <f t="shared" si="102"/>
        <v>150</v>
      </c>
      <c r="H310" s="197">
        <f t="shared" si="103"/>
        <v>150</v>
      </c>
      <c r="I310" s="181"/>
      <c r="J310" s="181"/>
      <c r="K310" s="181"/>
      <c r="L310" s="197">
        <v>150</v>
      </c>
      <c r="M310" s="181"/>
      <c r="N310" s="155"/>
      <c r="O310" s="155"/>
      <c r="P310" s="155"/>
      <c r="Q310" s="155"/>
      <c r="R310" s="156"/>
    </row>
    <row r="311" spans="1:18" ht="22.5" customHeight="1">
      <c r="A311" s="200"/>
      <c r="B311" s="200"/>
      <c r="C311" s="198">
        <v>4177</v>
      </c>
      <c r="D311" s="199" t="s">
        <v>303</v>
      </c>
      <c r="E311" s="155">
        <f t="shared" si="100"/>
        <v>26000</v>
      </c>
      <c r="F311" s="155">
        <f t="shared" si="101"/>
        <v>26000</v>
      </c>
      <c r="G311" s="155">
        <f t="shared" si="102"/>
        <v>26000</v>
      </c>
      <c r="H311" s="197">
        <f t="shared" si="103"/>
        <v>26000</v>
      </c>
      <c r="I311" s="181"/>
      <c r="J311" s="181"/>
      <c r="K311" s="181"/>
      <c r="L311" s="197">
        <v>26000</v>
      </c>
      <c r="M311" s="181"/>
      <c r="N311" s="155"/>
      <c r="O311" s="155"/>
      <c r="P311" s="155"/>
      <c r="Q311" s="155"/>
      <c r="R311" s="156"/>
    </row>
    <row r="312" spans="1:18" ht="22.5" customHeight="1">
      <c r="A312" s="200"/>
      <c r="B312" s="200"/>
      <c r="C312" s="198">
        <v>4179</v>
      </c>
      <c r="D312" s="199" t="s">
        <v>303</v>
      </c>
      <c r="E312" s="155">
        <f t="shared" si="100"/>
        <v>5000</v>
      </c>
      <c r="F312" s="155">
        <f t="shared" si="101"/>
        <v>5000</v>
      </c>
      <c r="G312" s="155">
        <f t="shared" si="102"/>
        <v>5000</v>
      </c>
      <c r="H312" s="197">
        <f t="shared" si="103"/>
        <v>5000</v>
      </c>
      <c r="I312" s="181"/>
      <c r="J312" s="181"/>
      <c r="K312" s="181"/>
      <c r="L312" s="197">
        <v>5000</v>
      </c>
      <c r="M312" s="181"/>
      <c r="N312" s="221"/>
      <c r="O312" s="221"/>
      <c r="P312" s="221"/>
      <c r="Q312" s="221"/>
      <c r="R312" s="156"/>
    </row>
    <row r="313" spans="1:18" ht="22.5" customHeight="1">
      <c r="A313" s="200"/>
      <c r="B313" s="200"/>
      <c r="C313" s="198">
        <v>4217</v>
      </c>
      <c r="D313" s="199" t="s">
        <v>276</v>
      </c>
      <c r="E313" s="155">
        <f t="shared" si="100"/>
        <v>15000</v>
      </c>
      <c r="F313" s="155">
        <f t="shared" si="101"/>
        <v>15000</v>
      </c>
      <c r="G313" s="155">
        <f t="shared" si="102"/>
        <v>15000</v>
      </c>
      <c r="H313" s="197">
        <f t="shared" si="103"/>
        <v>15000</v>
      </c>
      <c r="I313" s="181"/>
      <c r="J313" s="181"/>
      <c r="K313" s="181"/>
      <c r="L313" s="197">
        <v>15000</v>
      </c>
      <c r="M313" s="181"/>
      <c r="N313" s="155"/>
      <c r="O313" s="155"/>
      <c r="P313" s="155"/>
      <c r="Q313" s="155"/>
      <c r="R313" s="156"/>
    </row>
    <row r="314" spans="1:18" ht="22.5" customHeight="1">
      <c r="A314" s="200"/>
      <c r="B314" s="200"/>
      <c r="C314" s="198">
        <v>4219</v>
      </c>
      <c r="D314" s="199" t="s">
        <v>276</v>
      </c>
      <c r="E314" s="155">
        <f t="shared" si="100"/>
        <v>2000</v>
      </c>
      <c r="F314" s="155">
        <f t="shared" si="101"/>
        <v>2000</v>
      </c>
      <c r="G314" s="155">
        <f t="shared" si="102"/>
        <v>2000</v>
      </c>
      <c r="H314" s="181"/>
      <c r="I314" s="197">
        <f>L314</f>
        <v>2000</v>
      </c>
      <c r="J314" s="181"/>
      <c r="K314" s="181"/>
      <c r="L314" s="197">
        <v>2000</v>
      </c>
      <c r="M314" s="181"/>
      <c r="N314" s="155"/>
      <c r="O314" s="155"/>
      <c r="P314" s="155"/>
      <c r="Q314" s="155"/>
      <c r="R314" s="156"/>
    </row>
    <row r="315" spans="1:18" ht="22.5" customHeight="1">
      <c r="A315" s="200"/>
      <c r="B315" s="200"/>
      <c r="C315" s="198">
        <v>4307</v>
      </c>
      <c r="D315" s="199" t="s">
        <v>287</v>
      </c>
      <c r="E315" s="155">
        <f t="shared" si="100"/>
        <v>92000</v>
      </c>
      <c r="F315" s="155">
        <f t="shared" si="101"/>
        <v>92000</v>
      </c>
      <c r="G315" s="155">
        <f t="shared" si="102"/>
        <v>92000</v>
      </c>
      <c r="H315" s="181"/>
      <c r="I315" s="197">
        <f>L315</f>
        <v>92000</v>
      </c>
      <c r="J315" s="181"/>
      <c r="K315" s="181"/>
      <c r="L315" s="197">
        <v>92000</v>
      </c>
      <c r="M315" s="181"/>
      <c r="N315" s="155"/>
      <c r="O315" s="155"/>
      <c r="P315" s="155"/>
      <c r="Q315" s="155"/>
      <c r="R315" s="156"/>
    </row>
    <row r="316" spans="1:18" ht="22.5" customHeight="1">
      <c r="A316" s="200"/>
      <c r="B316" s="200"/>
      <c r="C316" s="198">
        <v>4309</v>
      </c>
      <c r="D316" s="199" t="s">
        <v>287</v>
      </c>
      <c r="E316" s="155">
        <f t="shared" si="100"/>
        <v>7114</v>
      </c>
      <c r="F316" s="155">
        <f t="shared" si="101"/>
        <v>7114</v>
      </c>
      <c r="G316" s="155">
        <f t="shared" si="102"/>
        <v>7114</v>
      </c>
      <c r="H316" s="181"/>
      <c r="I316" s="197">
        <f>L316</f>
        <v>7114</v>
      </c>
      <c r="J316" s="181"/>
      <c r="K316" s="181"/>
      <c r="L316" s="197">
        <v>7114</v>
      </c>
      <c r="M316" s="181"/>
      <c r="N316" s="221"/>
      <c r="O316" s="221"/>
      <c r="P316" s="221"/>
      <c r="Q316" s="221"/>
      <c r="R316" s="156"/>
    </row>
    <row r="317" spans="1:18" ht="22.5" customHeight="1">
      <c r="A317" s="200"/>
      <c r="B317" s="200"/>
      <c r="C317" s="198">
        <v>4417</v>
      </c>
      <c r="D317" s="199" t="s">
        <v>290</v>
      </c>
      <c r="E317" s="155">
        <f t="shared" si="100"/>
        <v>400</v>
      </c>
      <c r="F317" s="155">
        <f t="shared" si="101"/>
        <v>400</v>
      </c>
      <c r="G317" s="155">
        <f t="shared" si="102"/>
        <v>400</v>
      </c>
      <c r="H317" s="181"/>
      <c r="I317" s="197">
        <f>L317</f>
        <v>400</v>
      </c>
      <c r="J317" s="181"/>
      <c r="K317" s="181"/>
      <c r="L317" s="197">
        <v>400</v>
      </c>
      <c r="M317" s="181"/>
      <c r="N317" s="155"/>
      <c r="O317" s="155"/>
      <c r="P317" s="155"/>
      <c r="Q317" s="155"/>
      <c r="R317" s="156"/>
    </row>
    <row r="318" spans="1:18" ht="22.5" customHeight="1">
      <c r="A318" s="200"/>
      <c r="B318" s="200"/>
      <c r="C318" s="198">
        <v>4419</v>
      </c>
      <c r="D318" s="199" t="s">
        <v>290</v>
      </c>
      <c r="E318" s="155">
        <f t="shared" si="100"/>
        <v>100</v>
      </c>
      <c r="F318" s="155">
        <f t="shared" si="101"/>
        <v>100</v>
      </c>
      <c r="G318" s="155">
        <f t="shared" si="102"/>
        <v>100</v>
      </c>
      <c r="H318" s="181"/>
      <c r="I318" s="197">
        <f>L318</f>
        <v>100</v>
      </c>
      <c r="J318" s="181"/>
      <c r="K318" s="181"/>
      <c r="L318" s="197">
        <v>100</v>
      </c>
      <c r="M318" s="181"/>
      <c r="N318" s="221"/>
      <c r="O318" s="221"/>
      <c r="P318" s="221"/>
      <c r="Q318" s="221"/>
      <c r="R318" s="156"/>
    </row>
    <row r="319" spans="1:18" ht="22.5" customHeight="1">
      <c r="A319" s="147">
        <v>854</v>
      </c>
      <c r="B319" s="147"/>
      <c r="C319" s="147"/>
      <c r="D319" s="147" t="s">
        <v>326</v>
      </c>
      <c r="E319" s="148">
        <f aca="true" t="shared" si="104" ref="E319:R319">E320</f>
        <v>50320</v>
      </c>
      <c r="F319" s="148">
        <f t="shared" si="104"/>
        <v>50320</v>
      </c>
      <c r="G319" s="148">
        <f t="shared" si="104"/>
        <v>320</v>
      </c>
      <c r="H319" s="148">
        <f t="shared" si="104"/>
        <v>0</v>
      </c>
      <c r="I319" s="148">
        <f t="shared" si="104"/>
        <v>320</v>
      </c>
      <c r="J319" s="148">
        <f t="shared" si="104"/>
        <v>0</v>
      </c>
      <c r="K319" s="148">
        <f t="shared" si="104"/>
        <v>50000</v>
      </c>
      <c r="L319" s="148">
        <f t="shared" si="104"/>
        <v>0</v>
      </c>
      <c r="M319" s="148">
        <f t="shared" si="104"/>
        <v>0</v>
      </c>
      <c r="N319" s="148">
        <f t="shared" si="104"/>
        <v>0</v>
      </c>
      <c r="O319" s="148">
        <f t="shared" si="104"/>
        <v>0</v>
      </c>
      <c r="P319" s="148">
        <f t="shared" si="104"/>
        <v>0</v>
      </c>
      <c r="Q319" s="148">
        <f t="shared" si="104"/>
        <v>0</v>
      </c>
      <c r="R319" s="148">
        <f t="shared" si="104"/>
        <v>0</v>
      </c>
    </row>
    <row r="320" spans="1:18" ht="22.5" customHeight="1">
      <c r="A320" s="150"/>
      <c r="B320" s="150">
        <v>85415</v>
      </c>
      <c r="C320" s="150"/>
      <c r="D320" s="161" t="s">
        <v>327</v>
      </c>
      <c r="E320" s="152">
        <f aca="true" t="shared" si="105" ref="E320:R320">E321+E322</f>
        <v>50320</v>
      </c>
      <c r="F320" s="152">
        <f t="shared" si="105"/>
        <v>50320</v>
      </c>
      <c r="G320" s="152">
        <f t="shared" si="105"/>
        <v>320</v>
      </c>
      <c r="H320" s="152">
        <f t="shared" si="105"/>
        <v>0</v>
      </c>
      <c r="I320" s="152">
        <f t="shared" si="105"/>
        <v>320</v>
      </c>
      <c r="J320" s="152">
        <f t="shared" si="105"/>
        <v>0</v>
      </c>
      <c r="K320" s="152">
        <f t="shared" si="105"/>
        <v>50000</v>
      </c>
      <c r="L320" s="152">
        <f t="shared" si="105"/>
        <v>0</v>
      </c>
      <c r="M320" s="152">
        <f t="shared" si="105"/>
        <v>0</v>
      </c>
      <c r="N320" s="152">
        <f t="shared" si="105"/>
        <v>0</v>
      </c>
      <c r="O320" s="152">
        <f t="shared" si="105"/>
        <v>0</v>
      </c>
      <c r="P320" s="152">
        <f t="shared" si="105"/>
        <v>0</v>
      </c>
      <c r="Q320" s="152">
        <f t="shared" si="105"/>
        <v>0</v>
      </c>
      <c r="R320" s="152">
        <f t="shared" si="105"/>
        <v>0</v>
      </c>
    </row>
    <row r="321" spans="1:18" ht="22.5" customHeight="1">
      <c r="A321" s="154"/>
      <c r="B321" s="154"/>
      <c r="C321" s="154">
        <v>3260</v>
      </c>
      <c r="D321" s="153" t="s">
        <v>328</v>
      </c>
      <c r="E321" s="155">
        <f>F321+O321</f>
        <v>50000</v>
      </c>
      <c r="F321" s="155">
        <f>G321+K321+L321+J321+N321+M321</f>
        <v>50000</v>
      </c>
      <c r="G321" s="155">
        <f>H321+I321</f>
        <v>0</v>
      </c>
      <c r="H321" s="156"/>
      <c r="I321" s="158"/>
      <c r="J321" s="156"/>
      <c r="K321" s="157">
        <v>50000</v>
      </c>
      <c r="L321" s="156"/>
      <c r="M321" s="156"/>
      <c r="N321" s="156"/>
      <c r="O321" s="156"/>
      <c r="P321" s="156"/>
      <c r="Q321" s="156"/>
      <c r="R321" s="156"/>
    </row>
    <row r="322" spans="1:18" ht="22.5" customHeight="1">
      <c r="A322" s="154"/>
      <c r="B322" s="154"/>
      <c r="C322" s="154">
        <v>4300</v>
      </c>
      <c r="D322" s="153" t="s">
        <v>205</v>
      </c>
      <c r="E322" s="155">
        <f>F322+O322</f>
        <v>320</v>
      </c>
      <c r="F322" s="155">
        <f>G322+K322+L322+J322+N322+M322</f>
        <v>320</v>
      </c>
      <c r="G322" s="155">
        <f>H322+I322</f>
        <v>320</v>
      </c>
      <c r="H322" s="156"/>
      <c r="I322" s="157">
        <v>320</v>
      </c>
      <c r="J322" s="156"/>
      <c r="K322" s="156"/>
      <c r="L322" s="156"/>
      <c r="M322" s="156"/>
      <c r="N322" s="156"/>
      <c r="O322" s="156"/>
      <c r="P322" s="156"/>
      <c r="Q322" s="156"/>
      <c r="R322" s="156"/>
    </row>
    <row r="323" spans="1:18" ht="22.5" customHeight="1">
      <c r="A323" s="147">
        <v>900</v>
      </c>
      <c r="B323" s="147"/>
      <c r="C323" s="147"/>
      <c r="D323" s="147" t="s">
        <v>329</v>
      </c>
      <c r="E323" s="148">
        <f aca="true" t="shared" si="106" ref="E323:R323">E324+E327+E330+E333+E335+E347+E340</f>
        <v>1920404</v>
      </c>
      <c r="F323" s="148">
        <f t="shared" si="106"/>
        <v>1845404</v>
      </c>
      <c r="G323" s="148">
        <f t="shared" si="106"/>
        <v>1787198</v>
      </c>
      <c r="H323" s="148">
        <f t="shared" si="106"/>
        <v>0</v>
      </c>
      <c r="I323" s="148">
        <f t="shared" si="106"/>
        <v>1787198</v>
      </c>
      <c r="J323" s="148">
        <f t="shared" si="106"/>
        <v>7000</v>
      </c>
      <c r="K323" s="148">
        <f t="shared" si="106"/>
        <v>0</v>
      </c>
      <c r="L323" s="148">
        <f t="shared" si="106"/>
        <v>0</v>
      </c>
      <c r="M323" s="148">
        <f t="shared" si="106"/>
        <v>51206</v>
      </c>
      <c r="N323" s="148">
        <f t="shared" si="106"/>
        <v>0</v>
      </c>
      <c r="O323" s="148">
        <f t="shared" si="106"/>
        <v>75000</v>
      </c>
      <c r="P323" s="148">
        <f t="shared" si="106"/>
        <v>75000</v>
      </c>
      <c r="Q323" s="148">
        <f t="shared" si="106"/>
        <v>0</v>
      </c>
      <c r="R323" s="148">
        <f t="shared" si="106"/>
        <v>0</v>
      </c>
    </row>
    <row r="324" spans="1:18" ht="22.5" customHeight="1">
      <c r="A324" s="150"/>
      <c r="B324" s="150">
        <v>90001</v>
      </c>
      <c r="C324" s="150"/>
      <c r="D324" s="161" t="s">
        <v>330</v>
      </c>
      <c r="E324" s="152">
        <f aca="true" t="shared" si="107" ref="E324:R324">SUM(E325:E326)</f>
        <v>155000</v>
      </c>
      <c r="F324" s="152">
        <f t="shared" si="107"/>
        <v>80000</v>
      </c>
      <c r="G324" s="152">
        <f t="shared" si="107"/>
        <v>80000</v>
      </c>
      <c r="H324" s="152">
        <f t="shared" si="107"/>
        <v>0</v>
      </c>
      <c r="I324" s="152">
        <f t="shared" si="107"/>
        <v>80000</v>
      </c>
      <c r="J324" s="152">
        <f t="shared" si="107"/>
        <v>0</v>
      </c>
      <c r="K324" s="152">
        <f t="shared" si="107"/>
        <v>0</v>
      </c>
      <c r="L324" s="152">
        <f t="shared" si="107"/>
        <v>0</v>
      </c>
      <c r="M324" s="152">
        <f t="shared" si="107"/>
        <v>0</v>
      </c>
      <c r="N324" s="152">
        <f t="shared" si="107"/>
        <v>0</v>
      </c>
      <c r="O324" s="152">
        <f t="shared" si="107"/>
        <v>75000</v>
      </c>
      <c r="P324" s="152">
        <f t="shared" si="107"/>
        <v>75000</v>
      </c>
      <c r="Q324" s="152">
        <f t="shared" si="107"/>
        <v>0</v>
      </c>
      <c r="R324" s="152">
        <f t="shared" si="107"/>
        <v>0</v>
      </c>
    </row>
    <row r="325" spans="1:18" ht="22.5" customHeight="1">
      <c r="A325" s="150"/>
      <c r="B325" s="154"/>
      <c r="C325" s="154">
        <v>4300</v>
      </c>
      <c r="D325" s="153" t="s">
        <v>205</v>
      </c>
      <c r="E325" s="155">
        <f>F325+O325</f>
        <v>80000</v>
      </c>
      <c r="F325" s="155">
        <f>G325+K325+L325+J325+N325+M325</f>
        <v>80000</v>
      </c>
      <c r="G325" s="155">
        <f>H325+I325</f>
        <v>80000</v>
      </c>
      <c r="H325" s="156"/>
      <c r="I325" s="157">
        <v>80000</v>
      </c>
      <c r="J325" s="156"/>
      <c r="K325" s="156"/>
      <c r="L325" s="156"/>
      <c r="M325" s="156"/>
      <c r="N325" s="156"/>
      <c r="O325" s="156"/>
      <c r="P325" s="156"/>
      <c r="Q325" s="156"/>
      <c r="R325" s="156"/>
    </row>
    <row r="326" spans="1:18" ht="22.5" customHeight="1">
      <c r="A326" s="150"/>
      <c r="B326" s="154"/>
      <c r="C326" s="154">
        <v>6050</v>
      </c>
      <c r="D326" s="153" t="s">
        <v>273</v>
      </c>
      <c r="E326" s="155">
        <f>F326+O326</f>
        <v>75000</v>
      </c>
      <c r="F326" s="155">
        <f>G326+K326+L326+J326+N326+M326</f>
        <v>0</v>
      </c>
      <c r="G326" s="155">
        <f>H326+I326</f>
        <v>0</v>
      </c>
      <c r="H326" s="156"/>
      <c r="I326" s="156"/>
      <c r="J326" s="156"/>
      <c r="K326" s="156"/>
      <c r="L326" s="156"/>
      <c r="M326" s="156"/>
      <c r="N326" s="156"/>
      <c r="O326" s="157">
        <f>P326+R326</f>
        <v>75000</v>
      </c>
      <c r="P326" s="157">
        <f>'zał 11'!E42</f>
        <v>75000</v>
      </c>
      <c r="Q326" s="156"/>
      <c r="R326" s="158"/>
    </row>
    <row r="327" spans="1:18" ht="22.5" customHeight="1">
      <c r="A327" s="150"/>
      <c r="B327" s="150">
        <v>90003</v>
      </c>
      <c r="C327" s="150"/>
      <c r="D327" s="161" t="s">
        <v>331</v>
      </c>
      <c r="E327" s="152">
        <f aca="true" t="shared" si="108" ref="E327:R327">SUM(E328:E329)</f>
        <v>417800</v>
      </c>
      <c r="F327" s="152">
        <f t="shared" si="108"/>
        <v>417800</v>
      </c>
      <c r="G327" s="152">
        <f t="shared" si="108"/>
        <v>417800</v>
      </c>
      <c r="H327" s="152">
        <f t="shared" si="108"/>
        <v>0</v>
      </c>
      <c r="I327" s="152">
        <f t="shared" si="108"/>
        <v>417800</v>
      </c>
      <c r="J327" s="152">
        <f t="shared" si="108"/>
        <v>0</v>
      </c>
      <c r="K327" s="152">
        <f t="shared" si="108"/>
        <v>0</v>
      </c>
      <c r="L327" s="152">
        <f t="shared" si="108"/>
        <v>0</v>
      </c>
      <c r="M327" s="152">
        <f t="shared" si="108"/>
        <v>0</v>
      </c>
      <c r="N327" s="152">
        <f t="shared" si="108"/>
        <v>0</v>
      </c>
      <c r="O327" s="152">
        <f t="shared" si="108"/>
        <v>0</v>
      </c>
      <c r="P327" s="152">
        <f t="shared" si="108"/>
        <v>0</v>
      </c>
      <c r="Q327" s="152">
        <f t="shared" si="108"/>
        <v>0</v>
      </c>
      <c r="R327" s="152">
        <f t="shared" si="108"/>
        <v>0</v>
      </c>
    </row>
    <row r="328" spans="1:18" ht="22.5" customHeight="1">
      <c r="A328" s="150"/>
      <c r="B328" s="154"/>
      <c r="C328" s="154">
        <v>4210</v>
      </c>
      <c r="D328" s="153" t="s">
        <v>276</v>
      </c>
      <c r="E328" s="155">
        <f>F328+O328</f>
        <v>7800</v>
      </c>
      <c r="F328" s="155">
        <f>G328+K328+L328+J328+N328+M328</f>
        <v>7800</v>
      </c>
      <c r="G328" s="155">
        <f>H328+I328</f>
        <v>7800</v>
      </c>
      <c r="H328" s="156"/>
      <c r="I328" s="157">
        <f>7500+300</f>
        <v>7800</v>
      </c>
      <c r="J328" s="156"/>
      <c r="K328" s="156"/>
      <c r="L328" s="156"/>
      <c r="M328" s="156"/>
      <c r="N328" s="156"/>
      <c r="O328" s="156"/>
      <c r="P328" s="156"/>
      <c r="Q328" s="156"/>
      <c r="R328" s="156"/>
    </row>
    <row r="329" spans="1:18" ht="22.5" customHeight="1">
      <c r="A329" s="150"/>
      <c r="B329" s="154"/>
      <c r="C329" s="154">
        <v>4300</v>
      </c>
      <c r="D329" s="153" t="s">
        <v>205</v>
      </c>
      <c r="E329" s="155">
        <f>F329+O329</f>
        <v>410000</v>
      </c>
      <c r="F329" s="155">
        <f>G329+K329+L329+J329+N329+M329</f>
        <v>410000</v>
      </c>
      <c r="G329" s="155">
        <f>H329+I329</f>
        <v>410000</v>
      </c>
      <c r="H329" s="156"/>
      <c r="I329" s="157">
        <f>400000+10000</f>
        <v>410000</v>
      </c>
      <c r="J329" s="156"/>
      <c r="K329" s="156"/>
      <c r="L329" s="156"/>
      <c r="M329" s="156"/>
      <c r="N329" s="156"/>
      <c r="O329" s="156"/>
      <c r="P329" s="156"/>
      <c r="Q329" s="156"/>
      <c r="R329" s="156"/>
    </row>
    <row r="330" spans="1:18" ht="22.5" customHeight="1">
      <c r="A330" s="222"/>
      <c r="B330" s="150">
        <v>90004</v>
      </c>
      <c r="C330" s="150"/>
      <c r="D330" s="161" t="s">
        <v>332</v>
      </c>
      <c r="E330" s="152">
        <f aca="true" t="shared" si="109" ref="E330:R330">SUM(E331:E332)</f>
        <v>389563</v>
      </c>
      <c r="F330" s="152">
        <f t="shared" si="109"/>
        <v>389563</v>
      </c>
      <c r="G330" s="152">
        <f t="shared" si="109"/>
        <v>389563</v>
      </c>
      <c r="H330" s="152">
        <f t="shared" si="109"/>
        <v>0</v>
      </c>
      <c r="I330" s="152">
        <f t="shared" si="109"/>
        <v>389563</v>
      </c>
      <c r="J330" s="152">
        <f t="shared" si="109"/>
        <v>0</v>
      </c>
      <c r="K330" s="152">
        <f t="shared" si="109"/>
        <v>0</v>
      </c>
      <c r="L330" s="152">
        <f t="shared" si="109"/>
        <v>0</v>
      </c>
      <c r="M330" s="152">
        <f t="shared" si="109"/>
        <v>0</v>
      </c>
      <c r="N330" s="152">
        <f t="shared" si="109"/>
        <v>0</v>
      </c>
      <c r="O330" s="152">
        <f t="shared" si="109"/>
        <v>0</v>
      </c>
      <c r="P330" s="152">
        <f t="shared" si="109"/>
        <v>0</v>
      </c>
      <c r="Q330" s="152">
        <f t="shared" si="109"/>
        <v>0</v>
      </c>
      <c r="R330" s="152">
        <f t="shared" si="109"/>
        <v>0</v>
      </c>
    </row>
    <row r="331" spans="1:18" ht="22.5" customHeight="1">
      <c r="A331" s="223"/>
      <c r="B331" s="154"/>
      <c r="C331" s="154">
        <v>4210</v>
      </c>
      <c r="D331" s="153" t="s">
        <v>222</v>
      </c>
      <c r="E331" s="155">
        <f>F331+O331</f>
        <v>19563</v>
      </c>
      <c r="F331" s="155">
        <f>G331+K331+L331+J331+N331+M331</f>
        <v>19563</v>
      </c>
      <c r="G331" s="155">
        <f>H331+I331</f>
        <v>19563</v>
      </c>
      <c r="H331" s="156"/>
      <c r="I331" s="157">
        <f>7714+1934+1300+2400+818+5397</f>
        <v>19563</v>
      </c>
      <c r="J331" s="156"/>
      <c r="K331" s="156"/>
      <c r="L331" s="156"/>
      <c r="M331" s="156"/>
      <c r="N331" s="156"/>
      <c r="O331" s="156"/>
      <c r="P331" s="156"/>
      <c r="Q331" s="156"/>
      <c r="R331" s="156"/>
    </row>
    <row r="332" spans="1:18" ht="22.5" customHeight="1">
      <c r="A332" s="223"/>
      <c r="B332" s="154"/>
      <c r="C332" s="154">
        <v>4300</v>
      </c>
      <c r="D332" s="153" t="s">
        <v>205</v>
      </c>
      <c r="E332" s="155">
        <f>F332+O332</f>
        <v>370000</v>
      </c>
      <c r="F332" s="155">
        <f>G332+K332+L332+J332+N332+M332</f>
        <v>370000</v>
      </c>
      <c r="G332" s="155">
        <f>H332+I332</f>
        <v>370000</v>
      </c>
      <c r="H332" s="156"/>
      <c r="I332" s="157">
        <f>360000+10000</f>
        <v>370000</v>
      </c>
      <c r="J332" s="156"/>
      <c r="K332" s="156"/>
      <c r="L332" s="156"/>
      <c r="M332" s="156"/>
      <c r="N332" s="156"/>
      <c r="O332" s="156"/>
      <c r="P332" s="156"/>
      <c r="Q332" s="156"/>
      <c r="R332" s="156"/>
    </row>
    <row r="333" spans="1:18" ht="22.5" customHeight="1">
      <c r="A333" s="222"/>
      <c r="B333" s="150">
        <v>90013</v>
      </c>
      <c r="C333" s="150"/>
      <c r="D333" s="161" t="s">
        <v>333</v>
      </c>
      <c r="E333" s="152">
        <f aca="true" t="shared" si="110" ref="E333:R333">E334</f>
        <v>30000</v>
      </c>
      <c r="F333" s="152">
        <f t="shared" si="110"/>
        <v>30000</v>
      </c>
      <c r="G333" s="152">
        <f t="shared" si="110"/>
        <v>30000</v>
      </c>
      <c r="H333" s="152">
        <f t="shared" si="110"/>
        <v>0</v>
      </c>
      <c r="I333" s="152">
        <f t="shared" si="110"/>
        <v>30000</v>
      </c>
      <c r="J333" s="152">
        <f t="shared" si="110"/>
        <v>0</v>
      </c>
      <c r="K333" s="152">
        <f t="shared" si="110"/>
        <v>0</v>
      </c>
      <c r="L333" s="152">
        <f t="shared" si="110"/>
        <v>0</v>
      </c>
      <c r="M333" s="152">
        <f t="shared" si="110"/>
        <v>0</v>
      </c>
      <c r="N333" s="152">
        <f t="shared" si="110"/>
        <v>0</v>
      </c>
      <c r="O333" s="152">
        <f t="shared" si="110"/>
        <v>0</v>
      </c>
      <c r="P333" s="152">
        <f t="shared" si="110"/>
        <v>0</v>
      </c>
      <c r="Q333" s="152">
        <f t="shared" si="110"/>
        <v>0</v>
      </c>
      <c r="R333" s="152">
        <f t="shared" si="110"/>
        <v>0</v>
      </c>
    </row>
    <row r="334" spans="1:18" ht="22.5" customHeight="1">
      <c r="A334" s="223"/>
      <c r="B334" s="154"/>
      <c r="C334" s="154">
        <v>4300</v>
      </c>
      <c r="D334" s="153" t="s">
        <v>205</v>
      </c>
      <c r="E334" s="155">
        <f>F334+O334</f>
        <v>30000</v>
      </c>
      <c r="F334" s="155">
        <f>G334+K334+L334+J334+N334+M334</f>
        <v>30000</v>
      </c>
      <c r="G334" s="155">
        <f>H334+I334</f>
        <v>30000</v>
      </c>
      <c r="H334" s="156"/>
      <c r="I334" s="156">
        <v>30000</v>
      </c>
      <c r="J334" s="156"/>
      <c r="K334" s="156"/>
      <c r="L334" s="156"/>
      <c r="M334" s="156"/>
      <c r="N334" s="156"/>
      <c r="O334" s="156"/>
      <c r="P334" s="156"/>
      <c r="Q334" s="156"/>
      <c r="R334" s="156"/>
    </row>
    <row r="335" spans="1:18" ht="22.5" customHeight="1">
      <c r="A335" s="222"/>
      <c r="B335" s="150">
        <v>90015</v>
      </c>
      <c r="C335" s="150"/>
      <c r="D335" s="161" t="s">
        <v>334</v>
      </c>
      <c r="E335" s="152">
        <f aca="true" t="shared" si="111" ref="E335:R335">SUM(E336:E339)</f>
        <v>609666</v>
      </c>
      <c r="F335" s="152">
        <f t="shared" si="111"/>
        <v>609666</v>
      </c>
      <c r="G335" s="152">
        <f t="shared" si="111"/>
        <v>609666</v>
      </c>
      <c r="H335" s="152">
        <f t="shared" si="111"/>
        <v>0</v>
      </c>
      <c r="I335" s="152">
        <f t="shared" si="111"/>
        <v>609666</v>
      </c>
      <c r="J335" s="152">
        <f t="shared" si="111"/>
        <v>0</v>
      </c>
      <c r="K335" s="152">
        <f t="shared" si="111"/>
        <v>0</v>
      </c>
      <c r="L335" s="152">
        <f t="shared" si="111"/>
        <v>0</v>
      </c>
      <c r="M335" s="152">
        <f t="shared" si="111"/>
        <v>0</v>
      </c>
      <c r="N335" s="152">
        <f t="shared" si="111"/>
        <v>0</v>
      </c>
      <c r="O335" s="152">
        <f t="shared" si="111"/>
        <v>0</v>
      </c>
      <c r="P335" s="152">
        <f t="shared" si="111"/>
        <v>0</v>
      </c>
      <c r="Q335" s="152">
        <f t="shared" si="111"/>
        <v>0</v>
      </c>
      <c r="R335" s="152">
        <f t="shared" si="111"/>
        <v>0</v>
      </c>
    </row>
    <row r="336" spans="1:18" ht="22.5" customHeight="1">
      <c r="A336" s="223"/>
      <c r="B336" s="154"/>
      <c r="C336" s="154">
        <v>4210</v>
      </c>
      <c r="D336" s="153" t="s">
        <v>209</v>
      </c>
      <c r="E336" s="155">
        <f>F336+O336</f>
        <v>1500</v>
      </c>
      <c r="F336" s="155">
        <f>G336+K336+L336+J336+N336+M336</f>
        <v>1500</v>
      </c>
      <c r="G336" s="155">
        <f>H336+I336</f>
        <v>1500</v>
      </c>
      <c r="H336" s="156"/>
      <c r="I336" s="157">
        <v>1500</v>
      </c>
      <c r="J336" s="156"/>
      <c r="K336" s="156"/>
      <c r="L336" s="156"/>
      <c r="M336" s="156"/>
      <c r="N336" s="156"/>
      <c r="O336" s="156"/>
      <c r="P336" s="156"/>
      <c r="Q336" s="156"/>
      <c r="R336" s="156"/>
    </row>
    <row r="337" spans="1:18" ht="22.5" customHeight="1">
      <c r="A337" s="223"/>
      <c r="B337" s="154"/>
      <c r="C337" s="154">
        <v>4260</v>
      </c>
      <c r="D337" s="153" t="s">
        <v>267</v>
      </c>
      <c r="E337" s="155">
        <f>F337+O337</f>
        <v>372000</v>
      </c>
      <c r="F337" s="155">
        <f>G337+K337+L337+J337+N337+M337</f>
        <v>372000</v>
      </c>
      <c r="G337" s="155">
        <f>H337+I337</f>
        <v>372000</v>
      </c>
      <c r="H337" s="156"/>
      <c r="I337" s="157">
        <v>372000</v>
      </c>
      <c r="J337" s="156"/>
      <c r="K337" s="156"/>
      <c r="L337" s="156"/>
      <c r="M337" s="156"/>
      <c r="N337" s="156"/>
      <c r="O337" s="156"/>
      <c r="P337" s="156"/>
      <c r="Q337" s="156"/>
      <c r="R337" s="156"/>
    </row>
    <row r="338" spans="1:18" ht="22.5" customHeight="1">
      <c r="A338" s="223"/>
      <c r="B338" s="154"/>
      <c r="C338" s="154">
        <v>4270</v>
      </c>
      <c r="D338" s="153" t="s">
        <v>335</v>
      </c>
      <c r="E338" s="155">
        <f>F338+O338</f>
        <v>223000</v>
      </c>
      <c r="F338" s="155">
        <f>G338+K338+L338+J338+N338+M338</f>
        <v>223000</v>
      </c>
      <c r="G338" s="155">
        <f>H338+I338</f>
        <v>223000</v>
      </c>
      <c r="H338" s="156"/>
      <c r="I338" s="157">
        <v>223000</v>
      </c>
      <c r="J338" s="156"/>
      <c r="K338" s="156"/>
      <c r="L338" s="156"/>
      <c r="M338" s="156"/>
      <c r="N338" s="156"/>
      <c r="O338" s="156"/>
      <c r="P338" s="156"/>
      <c r="Q338" s="156"/>
      <c r="R338" s="156"/>
    </row>
    <row r="339" spans="1:18" ht="22.5" customHeight="1">
      <c r="A339" s="223"/>
      <c r="B339" s="154"/>
      <c r="C339" s="154">
        <v>4300</v>
      </c>
      <c r="D339" s="153" t="s">
        <v>205</v>
      </c>
      <c r="E339" s="155">
        <f>F339+O339</f>
        <v>13166</v>
      </c>
      <c r="F339" s="155">
        <f>G339+K339+L339+J339+N339+M339</f>
        <v>13166</v>
      </c>
      <c r="G339" s="155">
        <f>H339+I339</f>
        <v>13166</v>
      </c>
      <c r="H339" s="156"/>
      <c r="I339" s="157">
        <f>2365+5801+5000</f>
        <v>13166</v>
      </c>
      <c r="J339" s="156"/>
      <c r="K339" s="156"/>
      <c r="L339" s="156"/>
      <c r="M339" s="156"/>
      <c r="N339" s="156"/>
      <c r="O339" s="156"/>
      <c r="P339" s="156"/>
      <c r="Q339" s="156"/>
      <c r="R339" s="156"/>
    </row>
    <row r="340" spans="1:18" s="135" customFormat="1" ht="40.5">
      <c r="A340" s="222"/>
      <c r="B340" s="150">
        <v>90019</v>
      </c>
      <c r="C340" s="150"/>
      <c r="D340" s="224" t="s">
        <v>149</v>
      </c>
      <c r="E340" s="152">
        <f aca="true" t="shared" si="112" ref="E340:R340">SUM(E341:E346)</f>
        <v>117500</v>
      </c>
      <c r="F340" s="152">
        <f t="shared" si="112"/>
        <v>117500</v>
      </c>
      <c r="G340" s="152">
        <f t="shared" si="112"/>
        <v>110500</v>
      </c>
      <c r="H340" s="152">
        <f t="shared" si="112"/>
        <v>0</v>
      </c>
      <c r="I340" s="152">
        <f t="shared" si="112"/>
        <v>110500</v>
      </c>
      <c r="J340" s="152">
        <f t="shared" si="112"/>
        <v>7000</v>
      </c>
      <c r="K340" s="152">
        <f t="shared" si="112"/>
        <v>0</v>
      </c>
      <c r="L340" s="152">
        <f t="shared" si="112"/>
        <v>0</v>
      </c>
      <c r="M340" s="152">
        <f t="shared" si="112"/>
        <v>0</v>
      </c>
      <c r="N340" s="152">
        <f t="shared" si="112"/>
        <v>0</v>
      </c>
      <c r="O340" s="152">
        <f t="shared" si="112"/>
        <v>0</v>
      </c>
      <c r="P340" s="152">
        <f t="shared" si="112"/>
        <v>0</v>
      </c>
      <c r="Q340" s="152">
        <f t="shared" si="112"/>
        <v>0</v>
      </c>
      <c r="R340" s="152">
        <f t="shared" si="112"/>
        <v>0</v>
      </c>
    </row>
    <row r="341" spans="1:18" s="135" customFormat="1" ht="40.5">
      <c r="A341" s="222"/>
      <c r="B341" s="150"/>
      <c r="C341" s="154">
        <v>2820</v>
      </c>
      <c r="D341" s="153" t="s">
        <v>336</v>
      </c>
      <c r="E341" s="155">
        <f aca="true" t="shared" si="113" ref="E341:E346">F341+O341</f>
        <v>7000</v>
      </c>
      <c r="F341" s="155">
        <f aca="true" t="shared" si="114" ref="F341:F346">G341+K341+L341+J341+N341+M341</f>
        <v>7000</v>
      </c>
      <c r="G341" s="155">
        <f aca="true" t="shared" si="115" ref="G341:G346">H341+I341</f>
        <v>0</v>
      </c>
      <c r="H341" s="156"/>
      <c r="I341" s="156"/>
      <c r="J341" s="156">
        <f>'zał 26'!E17</f>
        <v>7000</v>
      </c>
      <c r="K341" s="152"/>
      <c r="L341" s="152"/>
      <c r="M341" s="152"/>
      <c r="N341" s="152"/>
      <c r="O341" s="152"/>
      <c r="P341" s="152"/>
      <c r="Q341" s="152"/>
      <c r="R341" s="152"/>
    </row>
    <row r="342" spans="1:18" ht="22.5" customHeight="1">
      <c r="A342" s="150"/>
      <c r="B342" s="154"/>
      <c r="C342" s="154">
        <v>4210</v>
      </c>
      <c r="D342" s="153" t="s">
        <v>209</v>
      </c>
      <c r="E342" s="155">
        <f t="shared" si="113"/>
        <v>20000</v>
      </c>
      <c r="F342" s="155">
        <f t="shared" si="114"/>
        <v>20000</v>
      </c>
      <c r="G342" s="155">
        <f t="shared" si="115"/>
        <v>20000</v>
      </c>
      <c r="H342" s="156"/>
      <c r="I342" s="156">
        <f>16000+4000</f>
        <v>20000</v>
      </c>
      <c r="J342" s="156"/>
      <c r="K342" s="156"/>
      <c r="L342" s="156"/>
      <c r="M342" s="156"/>
      <c r="N342" s="156"/>
      <c r="O342" s="156"/>
      <c r="P342" s="156"/>
      <c r="Q342" s="156"/>
      <c r="R342" s="157"/>
    </row>
    <row r="343" spans="1:18" ht="22.5" customHeight="1">
      <c r="A343" s="150"/>
      <c r="B343" s="154"/>
      <c r="C343" s="154">
        <v>4260</v>
      </c>
      <c r="D343" s="153" t="s">
        <v>267</v>
      </c>
      <c r="E343" s="155">
        <f t="shared" si="113"/>
        <v>3000</v>
      </c>
      <c r="F343" s="155">
        <f t="shared" si="114"/>
        <v>3000</v>
      </c>
      <c r="G343" s="155">
        <f t="shared" si="115"/>
        <v>3000</v>
      </c>
      <c r="H343" s="156"/>
      <c r="I343" s="156">
        <v>3000</v>
      </c>
      <c r="J343" s="156"/>
      <c r="K343" s="156"/>
      <c r="L343" s="156"/>
      <c r="M343" s="156"/>
      <c r="N343" s="156"/>
      <c r="O343" s="156"/>
      <c r="P343" s="156"/>
      <c r="Q343" s="156"/>
      <c r="R343" s="157"/>
    </row>
    <row r="344" spans="1:18" ht="22.5" customHeight="1">
      <c r="A344" s="150"/>
      <c r="B344" s="154"/>
      <c r="C344" s="154">
        <v>4270</v>
      </c>
      <c r="D344" s="153" t="s">
        <v>212</v>
      </c>
      <c r="E344" s="155">
        <f t="shared" si="113"/>
        <v>7000</v>
      </c>
      <c r="F344" s="155">
        <f t="shared" si="114"/>
        <v>7000</v>
      </c>
      <c r="G344" s="155">
        <f t="shared" si="115"/>
        <v>7000</v>
      </c>
      <c r="H344" s="156"/>
      <c r="I344" s="158">
        <f>7000</f>
        <v>7000</v>
      </c>
      <c r="J344" s="156"/>
      <c r="K344" s="156"/>
      <c r="L344" s="156"/>
      <c r="M344" s="156"/>
      <c r="N344" s="156"/>
      <c r="O344" s="156"/>
      <c r="P344" s="156"/>
      <c r="Q344" s="156"/>
      <c r="R344" s="157"/>
    </row>
    <row r="345" spans="1:18" ht="22.5" customHeight="1">
      <c r="A345" s="150"/>
      <c r="B345" s="154"/>
      <c r="C345" s="154">
        <v>4300</v>
      </c>
      <c r="D345" s="153" t="s">
        <v>205</v>
      </c>
      <c r="E345" s="155">
        <f t="shared" si="113"/>
        <v>66500</v>
      </c>
      <c r="F345" s="155">
        <f t="shared" si="114"/>
        <v>66500</v>
      </c>
      <c r="G345" s="155">
        <f t="shared" si="115"/>
        <v>66500</v>
      </c>
      <c r="H345" s="156"/>
      <c r="I345" s="156">
        <f>8000+11500+8000+16000+7000+6000+10000</f>
        <v>66500</v>
      </c>
      <c r="J345" s="156"/>
      <c r="K345" s="156"/>
      <c r="L345" s="156"/>
      <c r="M345" s="156"/>
      <c r="N345" s="156"/>
      <c r="O345" s="156"/>
      <c r="P345" s="156"/>
      <c r="Q345" s="156"/>
      <c r="R345" s="157"/>
    </row>
    <row r="346" spans="1:18" ht="22.5" customHeight="1">
      <c r="A346" s="223"/>
      <c r="B346" s="153"/>
      <c r="C346" s="154">
        <v>4430</v>
      </c>
      <c r="D346" s="215" t="s">
        <v>214</v>
      </c>
      <c r="E346" s="155">
        <f t="shared" si="113"/>
        <v>14000</v>
      </c>
      <c r="F346" s="155">
        <f t="shared" si="114"/>
        <v>14000</v>
      </c>
      <c r="G346" s="155">
        <f t="shared" si="115"/>
        <v>14000</v>
      </c>
      <c r="H346" s="156"/>
      <c r="I346" s="156">
        <v>14000</v>
      </c>
      <c r="J346" s="156"/>
      <c r="K346" s="156"/>
      <c r="L346" s="156"/>
      <c r="M346" s="156"/>
      <c r="N346" s="156"/>
      <c r="O346" s="156"/>
      <c r="P346" s="156"/>
      <c r="Q346" s="156"/>
      <c r="R346" s="157"/>
    </row>
    <row r="347" spans="1:18" ht="22.5" customHeight="1">
      <c r="A347" s="150"/>
      <c r="B347" s="150">
        <v>90095</v>
      </c>
      <c r="C347" s="150"/>
      <c r="D347" s="161" t="s">
        <v>30</v>
      </c>
      <c r="E347" s="152">
        <f aca="true" t="shared" si="116" ref="E347:R347">SUM(E348:E351)</f>
        <v>200875</v>
      </c>
      <c r="F347" s="152">
        <f t="shared" si="116"/>
        <v>200875</v>
      </c>
      <c r="G347" s="152">
        <f t="shared" si="116"/>
        <v>149669</v>
      </c>
      <c r="H347" s="152">
        <f t="shared" si="116"/>
        <v>0</v>
      </c>
      <c r="I347" s="152">
        <f t="shared" si="116"/>
        <v>149669</v>
      </c>
      <c r="J347" s="152">
        <f t="shared" si="116"/>
        <v>0</v>
      </c>
      <c r="K347" s="152">
        <f t="shared" si="116"/>
        <v>0</v>
      </c>
      <c r="L347" s="152">
        <f t="shared" si="116"/>
        <v>0</v>
      </c>
      <c r="M347" s="152">
        <f t="shared" si="116"/>
        <v>51206</v>
      </c>
      <c r="N347" s="152">
        <f t="shared" si="116"/>
        <v>0</v>
      </c>
      <c r="O347" s="152">
        <f t="shared" si="116"/>
        <v>0</v>
      </c>
      <c r="P347" s="152">
        <f t="shared" si="116"/>
        <v>0</v>
      </c>
      <c r="Q347" s="152">
        <f t="shared" si="116"/>
        <v>0</v>
      </c>
      <c r="R347" s="152">
        <f t="shared" si="116"/>
        <v>0</v>
      </c>
    </row>
    <row r="348" spans="1:18" ht="22.5" customHeight="1">
      <c r="A348" s="154"/>
      <c r="B348" s="154"/>
      <c r="C348" s="154">
        <v>4210</v>
      </c>
      <c r="D348" s="153" t="s">
        <v>209</v>
      </c>
      <c r="E348" s="155">
        <f>F348+O348</f>
        <v>16669</v>
      </c>
      <c r="F348" s="155">
        <f>G348+K348+L348+J348+N348+M348</f>
        <v>16669</v>
      </c>
      <c r="G348" s="155">
        <f>H348+I348</f>
        <v>16669</v>
      </c>
      <c r="H348" s="156"/>
      <c r="I348" s="156">
        <f>2500+1069+1400+11400+300</f>
        <v>16669</v>
      </c>
      <c r="J348" s="156"/>
      <c r="K348" s="156"/>
      <c r="L348" s="156"/>
      <c r="M348" s="156"/>
      <c r="N348" s="156"/>
      <c r="O348" s="156"/>
      <c r="P348" s="156"/>
      <c r="Q348" s="156"/>
      <c r="R348" s="156"/>
    </row>
    <row r="349" spans="1:18" ht="22.5" customHeight="1">
      <c r="A349" s="154"/>
      <c r="B349" s="154"/>
      <c r="C349" s="154">
        <v>4270</v>
      </c>
      <c r="D349" s="153" t="s">
        <v>335</v>
      </c>
      <c r="E349" s="155">
        <f>F349+O349</f>
        <v>20000</v>
      </c>
      <c r="F349" s="155">
        <f>G349+K349+L349+J349+N349+M349</f>
        <v>20000</v>
      </c>
      <c r="G349" s="155">
        <f>H349+I349</f>
        <v>20000</v>
      </c>
      <c r="H349" s="156"/>
      <c r="I349" s="157">
        <f>10000+10000</f>
        <v>20000</v>
      </c>
      <c r="J349" s="156"/>
      <c r="K349" s="156"/>
      <c r="L349" s="156"/>
      <c r="M349" s="156"/>
      <c r="N349" s="156"/>
      <c r="O349" s="156"/>
      <c r="P349" s="156"/>
      <c r="Q349" s="156"/>
      <c r="R349" s="156"/>
    </row>
    <row r="350" spans="1:18" ht="22.5" customHeight="1">
      <c r="A350" s="154"/>
      <c r="B350" s="154"/>
      <c r="C350" s="154">
        <v>4300</v>
      </c>
      <c r="D350" s="153" t="s">
        <v>337</v>
      </c>
      <c r="E350" s="155">
        <f>F350+O350</f>
        <v>113000</v>
      </c>
      <c r="F350" s="155">
        <f>G350+K350+L350+J350+N350+M350</f>
        <v>113000</v>
      </c>
      <c r="G350" s="155">
        <f>H350+I350</f>
        <v>113000</v>
      </c>
      <c r="H350" s="156"/>
      <c r="I350" s="157">
        <f>93000+10000+10000</f>
        <v>113000</v>
      </c>
      <c r="J350" s="156"/>
      <c r="K350" s="156"/>
      <c r="L350" s="156"/>
      <c r="M350" s="156"/>
      <c r="N350" s="156"/>
      <c r="O350" s="156"/>
      <c r="P350" s="156"/>
      <c r="Q350" s="156"/>
      <c r="R350" s="156"/>
    </row>
    <row r="351" spans="1:18" ht="22.5" customHeight="1">
      <c r="A351" s="150"/>
      <c r="B351" s="154"/>
      <c r="C351" s="154">
        <v>8020</v>
      </c>
      <c r="D351" s="153" t="s">
        <v>215</v>
      </c>
      <c r="E351" s="155">
        <f>F351+O351</f>
        <v>51206</v>
      </c>
      <c r="F351" s="155">
        <f>G351+K351+L351+J351+N351+M351</f>
        <v>51206</v>
      </c>
      <c r="G351" s="155">
        <f>H351+I351</f>
        <v>0</v>
      </c>
      <c r="H351" s="156"/>
      <c r="I351" s="156"/>
      <c r="J351" s="156"/>
      <c r="K351" s="156"/>
      <c r="L351" s="156"/>
      <c r="M351" s="156">
        <v>51206</v>
      </c>
      <c r="N351" s="156"/>
      <c r="O351" s="156"/>
      <c r="P351" s="156"/>
      <c r="Q351" s="156"/>
      <c r="R351" s="156"/>
    </row>
    <row r="352" spans="1:18" ht="22.5" customHeight="1">
      <c r="A352" s="147">
        <v>921</v>
      </c>
      <c r="B352" s="147"/>
      <c r="C352" s="147"/>
      <c r="D352" s="147" t="s">
        <v>155</v>
      </c>
      <c r="E352" s="148">
        <f aca="true" t="shared" si="117" ref="E352:R352">E353+E361+E363</f>
        <v>1611011</v>
      </c>
      <c r="F352" s="148">
        <f t="shared" si="117"/>
        <v>1611011</v>
      </c>
      <c r="G352" s="148">
        <f t="shared" si="117"/>
        <v>230630</v>
      </c>
      <c r="H352" s="148">
        <f t="shared" si="117"/>
        <v>0</v>
      </c>
      <c r="I352" s="148">
        <f t="shared" si="117"/>
        <v>230630</v>
      </c>
      <c r="J352" s="148">
        <f t="shared" si="117"/>
        <v>1320000</v>
      </c>
      <c r="K352" s="148">
        <f t="shared" si="117"/>
        <v>0</v>
      </c>
      <c r="L352" s="148">
        <f t="shared" si="117"/>
        <v>0</v>
      </c>
      <c r="M352" s="148">
        <f t="shared" si="117"/>
        <v>60381</v>
      </c>
      <c r="N352" s="148">
        <f t="shared" si="117"/>
        <v>0</v>
      </c>
      <c r="O352" s="148">
        <f t="shared" si="117"/>
        <v>0</v>
      </c>
      <c r="P352" s="148">
        <f t="shared" si="117"/>
        <v>0</v>
      </c>
      <c r="Q352" s="148">
        <f t="shared" si="117"/>
        <v>0</v>
      </c>
      <c r="R352" s="148">
        <f t="shared" si="117"/>
        <v>0</v>
      </c>
    </row>
    <row r="353" spans="1:18" s="135" customFormat="1" ht="22.5" customHeight="1">
      <c r="A353" s="150"/>
      <c r="B353" s="150">
        <v>92109</v>
      </c>
      <c r="C353" s="150"/>
      <c r="D353" s="161" t="s">
        <v>156</v>
      </c>
      <c r="E353" s="152">
        <f aca="true" t="shared" si="118" ref="E353:R353">SUM(E354:E360)</f>
        <v>1468148</v>
      </c>
      <c r="F353" s="152">
        <f t="shared" si="118"/>
        <v>1468148</v>
      </c>
      <c r="G353" s="152">
        <f t="shared" si="118"/>
        <v>107767</v>
      </c>
      <c r="H353" s="152">
        <f t="shared" si="118"/>
        <v>0</v>
      </c>
      <c r="I353" s="152">
        <f t="shared" si="118"/>
        <v>107767</v>
      </c>
      <c r="J353" s="152">
        <f t="shared" si="118"/>
        <v>1300000</v>
      </c>
      <c r="K353" s="152">
        <f t="shared" si="118"/>
        <v>0</v>
      </c>
      <c r="L353" s="152">
        <f t="shared" si="118"/>
        <v>0</v>
      </c>
      <c r="M353" s="152">
        <f t="shared" si="118"/>
        <v>60381</v>
      </c>
      <c r="N353" s="152">
        <f t="shared" si="118"/>
        <v>0</v>
      </c>
      <c r="O353" s="152">
        <f t="shared" si="118"/>
        <v>0</v>
      </c>
      <c r="P353" s="152">
        <f t="shared" si="118"/>
        <v>0</v>
      </c>
      <c r="Q353" s="152">
        <f t="shared" si="118"/>
        <v>0</v>
      </c>
      <c r="R353" s="152">
        <f t="shared" si="118"/>
        <v>0</v>
      </c>
    </row>
    <row r="354" spans="1:18" ht="36.75" customHeight="1">
      <c r="A354" s="154"/>
      <c r="B354" s="154"/>
      <c r="C354" s="154">
        <v>2480</v>
      </c>
      <c r="D354" s="153" t="s">
        <v>338</v>
      </c>
      <c r="E354" s="155">
        <f aca="true" t="shared" si="119" ref="E354:E360">F354+O354</f>
        <v>1300000</v>
      </c>
      <c r="F354" s="155">
        <f aca="true" t="shared" si="120" ref="F354:F360">G354+K354+L354+J354+N354+M354</f>
        <v>1300000</v>
      </c>
      <c r="G354" s="155">
        <f aca="true" t="shared" si="121" ref="G354:G360">H354+I354</f>
        <v>0</v>
      </c>
      <c r="H354" s="156"/>
      <c r="I354" s="156"/>
      <c r="J354" s="157">
        <f>'zał 23'!E7</f>
        <v>1300000</v>
      </c>
      <c r="K354" s="156"/>
      <c r="L354" s="156"/>
      <c r="M354" s="158"/>
      <c r="N354" s="157"/>
      <c r="O354" s="157"/>
      <c r="P354" s="156"/>
      <c r="Q354" s="156"/>
      <c r="R354" s="156"/>
    </row>
    <row r="355" spans="1:18" ht="22.5" customHeight="1">
      <c r="A355" s="150"/>
      <c r="B355" s="154"/>
      <c r="C355" s="154">
        <v>4210</v>
      </c>
      <c r="D355" s="153" t="s">
        <v>209</v>
      </c>
      <c r="E355" s="155">
        <f t="shared" si="119"/>
        <v>42757</v>
      </c>
      <c r="F355" s="155">
        <f t="shared" si="120"/>
        <v>42757</v>
      </c>
      <c r="G355" s="155">
        <f t="shared" si="121"/>
        <v>42757</v>
      </c>
      <c r="H355" s="156"/>
      <c r="I355" s="156">
        <f>3574+3562+7574+5090+4620+6700+7909+2228+1500</f>
        <v>42757</v>
      </c>
      <c r="J355" s="178"/>
      <c r="K355" s="178"/>
      <c r="L355" s="178"/>
      <c r="M355" s="156"/>
      <c r="N355" s="156"/>
      <c r="O355" s="156"/>
      <c r="P355" s="156"/>
      <c r="Q355" s="156"/>
      <c r="R355" s="156"/>
    </row>
    <row r="356" spans="1:18" ht="22.5" customHeight="1">
      <c r="A356" s="150"/>
      <c r="B356" s="154"/>
      <c r="C356" s="154">
        <v>4260</v>
      </c>
      <c r="D356" s="153" t="s">
        <v>267</v>
      </c>
      <c r="E356" s="155">
        <f t="shared" si="119"/>
        <v>32110</v>
      </c>
      <c r="F356" s="155">
        <f t="shared" si="120"/>
        <v>32110</v>
      </c>
      <c r="G356" s="155">
        <f t="shared" si="121"/>
        <v>32110</v>
      </c>
      <c r="H356" s="156"/>
      <c r="I356" s="157">
        <f>1000+1900+2200+8280+1674+3562+2300+1194+10000</f>
        <v>32110</v>
      </c>
      <c r="J356" s="156"/>
      <c r="K356" s="156"/>
      <c r="L356" s="156"/>
      <c r="M356" s="156"/>
      <c r="N356" s="156"/>
      <c r="O356" s="156"/>
      <c r="P356" s="156"/>
      <c r="Q356" s="156"/>
      <c r="R356" s="156"/>
    </row>
    <row r="357" spans="1:18" ht="22.5" customHeight="1">
      <c r="A357" s="150"/>
      <c r="B357" s="154"/>
      <c r="C357" s="154">
        <v>4270</v>
      </c>
      <c r="D357" s="153" t="s">
        <v>212</v>
      </c>
      <c r="E357" s="155">
        <f t="shared" si="119"/>
        <v>5000</v>
      </c>
      <c r="F357" s="155">
        <f t="shared" si="120"/>
        <v>5000</v>
      </c>
      <c r="G357" s="155">
        <f t="shared" si="121"/>
        <v>5000</v>
      </c>
      <c r="H357" s="156"/>
      <c r="I357" s="157">
        <v>5000</v>
      </c>
      <c r="J357" s="156"/>
      <c r="K357" s="156"/>
      <c r="L357" s="156"/>
      <c r="M357" s="156"/>
      <c r="N357" s="156"/>
      <c r="O357" s="156"/>
      <c r="P357" s="156"/>
      <c r="Q357" s="156"/>
      <c r="R357" s="156"/>
    </row>
    <row r="358" spans="1:18" ht="22.5" customHeight="1">
      <c r="A358" s="150"/>
      <c r="B358" s="154"/>
      <c r="C358" s="154">
        <v>4300</v>
      </c>
      <c r="D358" s="153" t="s">
        <v>205</v>
      </c>
      <c r="E358" s="155">
        <f t="shared" si="119"/>
        <v>26900</v>
      </c>
      <c r="F358" s="155">
        <f t="shared" si="120"/>
        <v>26900</v>
      </c>
      <c r="G358" s="155">
        <f t="shared" si="121"/>
        <v>26900</v>
      </c>
      <c r="H358" s="156"/>
      <c r="I358" s="157">
        <v>26900</v>
      </c>
      <c r="J358" s="156"/>
      <c r="K358" s="156"/>
      <c r="L358" s="156"/>
      <c r="M358" s="156"/>
      <c r="N358" s="156"/>
      <c r="O358" s="156"/>
      <c r="P358" s="156"/>
      <c r="Q358" s="156"/>
      <c r="R358" s="156"/>
    </row>
    <row r="359" spans="1:18" ht="36.75" customHeight="1">
      <c r="A359" s="154"/>
      <c r="B359" s="154"/>
      <c r="C359" s="154">
        <v>4370</v>
      </c>
      <c r="D359" s="215" t="s">
        <v>323</v>
      </c>
      <c r="E359" s="155">
        <f t="shared" si="119"/>
        <v>1000</v>
      </c>
      <c r="F359" s="155">
        <f t="shared" si="120"/>
        <v>1000</v>
      </c>
      <c r="G359" s="155">
        <f t="shared" si="121"/>
        <v>1000</v>
      </c>
      <c r="H359" s="156"/>
      <c r="I359" s="157">
        <v>1000</v>
      </c>
      <c r="J359" s="156"/>
      <c r="K359" s="156"/>
      <c r="L359" s="156"/>
      <c r="M359" s="156"/>
      <c r="N359" s="156"/>
      <c r="O359" s="156"/>
      <c r="P359" s="156"/>
      <c r="Q359" s="156"/>
      <c r="R359" s="156"/>
    </row>
    <row r="360" spans="1:18" ht="22.5" customHeight="1">
      <c r="A360" s="150"/>
      <c r="B360" s="154"/>
      <c r="C360" s="154">
        <v>8020</v>
      </c>
      <c r="D360" s="153" t="s">
        <v>215</v>
      </c>
      <c r="E360" s="155">
        <f t="shared" si="119"/>
        <v>60381</v>
      </c>
      <c r="F360" s="155">
        <f t="shared" si="120"/>
        <v>60381</v>
      </c>
      <c r="G360" s="155">
        <f t="shared" si="121"/>
        <v>0</v>
      </c>
      <c r="H360" s="156"/>
      <c r="I360" s="156"/>
      <c r="J360" s="156"/>
      <c r="K360" s="156"/>
      <c r="L360" s="156"/>
      <c r="M360" s="156">
        <v>60381</v>
      </c>
      <c r="N360" s="156"/>
      <c r="O360" s="156"/>
      <c r="P360" s="156"/>
      <c r="Q360" s="156"/>
      <c r="R360" s="156"/>
    </row>
    <row r="361" spans="1:18" ht="22.5" customHeight="1">
      <c r="A361" s="150"/>
      <c r="B361" s="150">
        <v>92120</v>
      </c>
      <c r="C361" s="150"/>
      <c r="D361" s="161" t="s">
        <v>339</v>
      </c>
      <c r="E361" s="152">
        <f aca="true" t="shared" si="122" ref="E361:R361">SUM(E362:E362)</f>
        <v>12000</v>
      </c>
      <c r="F361" s="152">
        <f t="shared" si="122"/>
        <v>12000</v>
      </c>
      <c r="G361" s="152">
        <f t="shared" si="122"/>
        <v>12000</v>
      </c>
      <c r="H361" s="152">
        <f t="shared" si="122"/>
        <v>0</v>
      </c>
      <c r="I361" s="152">
        <f t="shared" si="122"/>
        <v>12000</v>
      </c>
      <c r="J361" s="152">
        <f t="shared" si="122"/>
        <v>0</v>
      </c>
      <c r="K361" s="152">
        <f t="shared" si="122"/>
        <v>0</v>
      </c>
      <c r="L361" s="152">
        <f t="shared" si="122"/>
        <v>0</v>
      </c>
      <c r="M361" s="152">
        <f t="shared" si="122"/>
        <v>0</v>
      </c>
      <c r="N361" s="152">
        <f t="shared" si="122"/>
        <v>0</v>
      </c>
      <c r="O361" s="152">
        <f t="shared" si="122"/>
        <v>0</v>
      </c>
      <c r="P361" s="152">
        <f t="shared" si="122"/>
        <v>0</v>
      </c>
      <c r="Q361" s="152">
        <f t="shared" si="122"/>
        <v>0</v>
      </c>
      <c r="R361" s="152">
        <f t="shared" si="122"/>
        <v>0</v>
      </c>
    </row>
    <row r="362" spans="1:18" ht="22.5" customHeight="1">
      <c r="A362" s="150"/>
      <c r="B362" s="154"/>
      <c r="C362" s="154">
        <v>4270</v>
      </c>
      <c r="D362" s="153" t="s">
        <v>212</v>
      </c>
      <c r="E362" s="155">
        <f>F362+O362</f>
        <v>12000</v>
      </c>
      <c r="F362" s="155">
        <f>G362+K362+L362+J362+N362+M362</f>
        <v>12000</v>
      </c>
      <c r="G362" s="155">
        <f>H362+I362</f>
        <v>12000</v>
      </c>
      <c r="H362" s="156"/>
      <c r="I362" s="157">
        <v>12000</v>
      </c>
      <c r="J362" s="156"/>
      <c r="K362" s="156"/>
      <c r="L362" s="156"/>
      <c r="M362" s="156"/>
      <c r="N362" s="156"/>
      <c r="O362" s="156"/>
      <c r="P362" s="156"/>
      <c r="Q362" s="156"/>
      <c r="R362" s="156"/>
    </row>
    <row r="363" spans="1:18" ht="22.5" customHeight="1">
      <c r="A363" s="150"/>
      <c r="B363" s="150">
        <v>92195</v>
      </c>
      <c r="C363" s="150"/>
      <c r="D363" s="161" t="s">
        <v>30</v>
      </c>
      <c r="E363" s="152">
        <f aca="true" t="shared" si="123" ref="E363:R363">SUM(E364:E366)</f>
        <v>130863</v>
      </c>
      <c r="F363" s="152">
        <f t="shared" si="123"/>
        <v>130863</v>
      </c>
      <c r="G363" s="152">
        <f t="shared" si="123"/>
        <v>110863</v>
      </c>
      <c r="H363" s="152">
        <f t="shared" si="123"/>
        <v>0</v>
      </c>
      <c r="I363" s="152">
        <f t="shared" si="123"/>
        <v>110863</v>
      </c>
      <c r="J363" s="152">
        <f t="shared" si="123"/>
        <v>20000</v>
      </c>
      <c r="K363" s="152">
        <f t="shared" si="123"/>
        <v>0</v>
      </c>
      <c r="L363" s="152">
        <f t="shared" si="123"/>
        <v>0</v>
      </c>
      <c r="M363" s="152">
        <f t="shared" si="123"/>
        <v>0</v>
      </c>
      <c r="N363" s="152">
        <f t="shared" si="123"/>
        <v>0</v>
      </c>
      <c r="O363" s="152">
        <f t="shared" si="123"/>
        <v>0</v>
      </c>
      <c r="P363" s="152">
        <f t="shared" si="123"/>
        <v>0</v>
      </c>
      <c r="Q363" s="152">
        <f t="shared" si="123"/>
        <v>0</v>
      </c>
      <c r="R363" s="152">
        <f t="shared" si="123"/>
        <v>0</v>
      </c>
    </row>
    <row r="364" spans="1:18" ht="54" customHeight="1">
      <c r="A364" s="154"/>
      <c r="B364" s="154"/>
      <c r="C364" s="154">
        <v>2820</v>
      </c>
      <c r="D364" s="153" t="s">
        <v>302</v>
      </c>
      <c r="E364" s="155">
        <f>F364+O364</f>
        <v>20000</v>
      </c>
      <c r="F364" s="155">
        <f>G364+K364+L364+J364+N364+M364</f>
        <v>20000</v>
      </c>
      <c r="G364" s="155">
        <f>H364+I364</f>
        <v>0</v>
      </c>
      <c r="H364" s="156"/>
      <c r="I364" s="156"/>
      <c r="J364" s="156">
        <f>'zał 26'!E20</f>
        <v>20000</v>
      </c>
      <c r="K364" s="156"/>
      <c r="L364" s="156"/>
      <c r="M364" s="157"/>
      <c r="N364" s="157"/>
      <c r="O364" s="157"/>
      <c r="P364" s="156"/>
      <c r="Q364" s="156"/>
      <c r="R364" s="156"/>
    </row>
    <row r="365" spans="1:18" ht="22.5" customHeight="1">
      <c r="A365" s="154"/>
      <c r="B365" s="154"/>
      <c r="C365" s="154">
        <v>4210</v>
      </c>
      <c r="D365" s="171" t="s">
        <v>340</v>
      </c>
      <c r="E365" s="155">
        <f>F365+O365</f>
        <v>41893</v>
      </c>
      <c r="F365" s="155">
        <f>G365+K365+L365+J365+N365+M365</f>
        <v>41893</v>
      </c>
      <c r="G365" s="155">
        <f>H365+I365</f>
        <v>41893</v>
      </c>
      <c r="H365" s="156"/>
      <c r="I365" s="157">
        <f>2200+2700+900+7909+2200+1300+2200+2600+6700+1400+884+1500+1600+2300+1900+2400+1200</f>
        <v>41893</v>
      </c>
      <c r="J365" s="156"/>
      <c r="K365" s="156"/>
      <c r="L365" s="156"/>
      <c r="M365" s="156"/>
      <c r="N365" s="156"/>
      <c r="O365" s="156"/>
      <c r="P365" s="156"/>
      <c r="Q365" s="156"/>
      <c r="R365" s="156"/>
    </row>
    <row r="366" spans="1:18" ht="22.5" customHeight="1">
      <c r="A366" s="154"/>
      <c r="B366" s="154"/>
      <c r="C366" s="154">
        <v>4300</v>
      </c>
      <c r="D366" s="153" t="s">
        <v>287</v>
      </c>
      <c r="E366" s="155">
        <f>F366+O366</f>
        <v>68970</v>
      </c>
      <c r="F366" s="155">
        <f>G366+K366+L366+J366+N366+M366</f>
        <v>68970</v>
      </c>
      <c r="G366" s="155">
        <f>H366+I366</f>
        <v>68970</v>
      </c>
      <c r="H366" s="156"/>
      <c r="I366" s="157">
        <f>50000+18970</f>
        <v>68970</v>
      </c>
      <c r="J366" s="156"/>
      <c r="K366" s="156"/>
      <c r="L366" s="156"/>
      <c r="M366" s="156"/>
      <c r="N366" s="156"/>
      <c r="O366" s="156"/>
      <c r="P366" s="156"/>
      <c r="Q366" s="156"/>
      <c r="R366" s="156"/>
    </row>
    <row r="367" spans="1:18" ht="22.5" customHeight="1">
      <c r="A367" s="147">
        <v>926</v>
      </c>
      <c r="B367" s="147"/>
      <c r="C367" s="147"/>
      <c r="D367" s="225" t="s">
        <v>158</v>
      </c>
      <c r="E367" s="148">
        <f aca="true" t="shared" si="124" ref="E367:R367">E368+E373+E376</f>
        <v>5254180</v>
      </c>
      <c r="F367" s="148">
        <f t="shared" si="124"/>
        <v>404180</v>
      </c>
      <c r="G367" s="148">
        <f t="shared" si="124"/>
        <v>341380</v>
      </c>
      <c r="H367" s="148">
        <f t="shared" si="124"/>
        <v>0</v>
      </c>
      <c r="I367" s="148">
        <f t="shared" si="124"/>
        <v>341380</v>
      </c>
      <c r="J367" s="148">
        <f t="shared" si="124"/>
        <v>62800</v>
      </c>
      <c r="K367" s="148">
        <f t="shared" si="124"/>
        <v>0</v>
      </c>
      <c r="L367" s="148">
        <f t="shared" si="124"/>
        <v>0</v>
      </c>
      <c r="M367" s="148">
        <f t="shared" si="124"/>
        <v>0</v>
      </c>
      <c r="N367" s="148">
        <f t="shared" si="124"/>
        <v>0</v>
      </c>
      <c r="O367" s="148">
        <f t="shared" si="124"/>
        <v>4850000</v>
      </c>
      <c r="P367" s="148">
        <f t="shared" si="124"/>
        <v>4850000</v>
      </c>
      <c r="Q367" s="148">
        <f t="shared" si="124"/>
        <v>1100000</v>
      </c>
      <c r="R367" s="148">
        <f t="shared" si="124"/>
        <v>0</v>
      </c>
    </row>
    <row r="368" spans="1:18" ht="22.5" customHeight="1">
      <c r="A368" s="150"/>
      <c r="B368" s="150">
        <v>92601</v>
      </c>
      <c r="C368" s="150"/>
      <c r="D368" s="161" t="s">
        <v>159</v>
      </c>
      <c r="E368" s="152">
        <f aca="true" t="shared" si="125" ref="E368:R368">SUM(E369:E372)</f>
        <v>4850000</v>
      </c>
      <c r="F368" s="152">
        <f t="shared" si="125"/>
        <v>0</v>
      </c>
      <c r="G368" s="152">
        <f t="shared" si="125"/>
        <v>0</v>
      </c>
      <c r="H368" s="152">
        <f t="shared" si="125"/>
        <v>0</v>
      </c>
      <c r="I368" s="152">
        <f t="shared" si="125"/>
        <v>0</v>
      </c>
      <c r="J368" s="152">
        <f t="shared" si="125"/>
        <v>0</v>
      </c>
      <c r="K368" s="152">
        <f t="shared" si="125"/>
        <v>0</v>
      </c>
      <c r="L368" s="152">
        <f t="shared" si="125"/>
        <v>0</v>
      </c>
      <c r="M368" s="152">
        <f t="shared" si="125"/>
        <v>0</v>
      </c>
      <c r="N368" s="152">
        <f t="shared" si="125"/>
        <v>0</v>
      </c>
      <c r="O368" s="152">
        <f t="shared" si="125"/>
        <v>4850000</v>
      </c>
      <c r="P368" s="152">
        <f t="shared" si="125"/>
        <v>4850000</v>
      </c>
      <c r="Q368" s="152">
        <f t="shared" si="125"/>
        <v>1100000</v>
      </c>
      <c r="R368" s="152">
        <f t="shared" si="125"/>
        <v>0</v>
      </c>
    </row>
    <row r="369" spans="1:18" ht="22.5" customHeight="1">
      <c r="A369" s="150"/>
      <c r="B369" s="150"/>
      <c r="C369" s="154">
        <v>6050</v>
      </c>
      <c r="D369" s="153" t="s">
        <v>206</v>
      </c>
      <c r="E369" s="155">
        <f>F369+O369</f>
        <v>30000</v>
      </c>
      <c r="F369" s="155">
        <f>G369+K369+L369+J369+N369+M369</f>
        <v>0</v>
      </c>
      <c r="G369" s="155">
        <f>H369+I369</f>
        <v>0</v>
      </c>
      <c r="H369" s="152"/>
      <c r="I369" s="152"/>
      <c r="J369" s="152"/>
      <c r="K369" s="152"/>
      <c r="L369" s="152"/>
      <c r="M369" s="152"/>
      <c r="N369" s="152"/>
      <c r="O369" s="156">
        <f>P369+R369</f>
        <v>30000</v>
      </c>
      <c r="P369" s="156">
        <f>'zał 11'!E46</f>
        <v>30000</v>
      </c>
      <c r="Q369" s="157"/>
      <c r="R369" s="152"/>
    </row>
    <row r="370" spans="1:18" ht="22.5" customHeight="1">
      <c r="A370" s="150"/>
      <c r="B370" s="150"/>
      <c r="C370" s="154">
        <v>6057</v>
      </c>
      <c r="D370" s="153" t="s">
        <v>206</v>
      </c>
      <c r="E370" s="155">
        <f>F370+O370</f>
        <v>1100000</v>
      </c>
      <c r="F370" s="155">
        <f>G370+K370+L370+J370+N370+M370</f>
        <v>0</v>
      </c>
      <c r="G370" s="155">
        <f>H370+I370</f>
        <v>0</v>
      </c>
      <c r="H370" s="152"/>
      <c r="I370" s="152"/>
      <c r="J370" s="152"/>
      <c r="K370" s="152"/>
      <c r="L370" s="152"/>
      <c r="M370" s="152"/>
      <c r="N370" s="152"/>
      <c r="O370" s="156">
        <f>P370+R370</f>
        <v>1100000</v>
      </c>
      <c r="P370" s="156">
        <f>Q370</f>
        <v>1100000</v>
      </c>
      <c r="Q370" s="157">
        <f>'zał 11'!E48</f>
        <v>1100000</v>
      </c>
      <c r="R370" s="152"/>
    </row>
    <row r="371" spans="1:18" ht="22.5" customHeight="1">
      <c r="A371" s="150"/>
      <c r="B371" s="154"/>
      <c r="C371" s="154">
        <v>6059</v>
      </c>
      <c r="D371" s="153" t="s">
        <v>206</v>
      </c>
      <c r="E371" s="155">
        <f>F371+O371</f>
        <v>3700000</v>
      </c>
      <c r="F371" s="155">
        <f>G371+K371+L371+J371+N371+M371</f>
        <v>0</v>
      </c>
      <c r="G371" s="155">
        <f>H371+I371</f>
        <v>0</v>
      </c>
      <c r="H371" s="156"/>
      <c r="I371" s="156"/>
      <c r="J371" s="156"/>
      <c r="K371" s="156"/>
      <c r="L371" s="156"/>
      <c r="M371" s="156"/>
      <c r="N371" s="156"/>
      <c r="O371" s="156">
        <f>P371+R371</f>
        <v>3700000</v>
      </c>
      <c r="P371" s="157">
        <f>'zał 11'!E50</f>
        <v>3700000</v>
      </c>
      <c r="Q371" s="158"/>
      <c r="R371" s="158"/>
    </row>
    <row r="372" spans="1:18" ht="22.5" customHeight="1">
      <c r="A372" s="150"/>
      <c r="B372" s="154"/>
      <c r="C372" s="226">
        <v>6060</v>
      </c>
      <c r="D372" s="227" t="s">
        <v>341</v>
      </c>
      <c r="E372" s="155">
        <f>F372+O372</f>
        <v>20000</v>
      </c>
      <c r="F372" s="155">
        <f>G372+K372+L372+J372+N372+M372</f>
        <v>0</v>
      </c>
      <c r="G372" s="155">
        <f>H372+I372</f>
        <v>0</v>
      </c>
      <c r="H372" s="156"/>
      <c r="I372" s="156"/>
      <c r="J372" s="156"/>
      <c r="K372" s="156"/>
      <c r="L372" s="156"/>
      <c r="M372" s="156"/>
      <c r="N372" s="156"/>
      <c r="O372" s="156">
        <f>P372+R372</f>
        <v>20000</v>
      </c>
      <c r="P372" s="157">
        <f>'zał 11'!E52</f>
        <v>20000</v>
      </c>
      <c r="Q372" s="159"/>
      <c r="R372" s="158"/>
    </row>
    <row r="373" spans="1:18" ht="22.5" customHeight="1">
      <c r="A373" s="150"/>
      <c r="B373" s="150">
        <v>92605</v>
      </c>
      <c r="C373" s="150"/>
      <c r="D373" s="161" t="s">
        <v>160</v>
      </c>
      <c r="E373" s="152">
        <f aca="true" t="shared" si="126" ref="E373:R373">E374+E375</f>
        <v>361900</v>
      </c>
      <c r="F373" s="152">
        <f t="shared" si="126"/>
        <v>361900</v>
      </c>
      <c r="G373" s="152">
        <f t="shared" si="126"/>
        <v>301900</v>
      </c>
      <c r="H373" s="152">
        <f t="shared" si="126"/>
        <v>0</v>
      </c>
      <c r="I373" s="152">
        <f t="shared" si="126"/>
        <v>301900</v>
      </c>
      <c r="J373" s="152">
        <f t="shared" si="126"/>
        <v>60000</v>
      </c>
      <c r="K373" s="152">
        <f t="shared" si="126"/>
        <v>0</v>
      </c>
      <c r="L373" s="152">
        <f t="shared" si="126"/>
        <v>0</v>
      </c>
      <c r="M373" s="152">
        <f t="shared" si="126"/>
        <v>0</v>
      </c>
      <c r="N373" s="152">
        <f t="shared" si="126"/>
        <v>0</v>
      </c>
      <c r="O373" s="152">
        <f t="shared" si="126"/>
        <v>0</v>
      </c>
      <c r="P373" s="152">
        <f t="shared" si="126"/>
        <v>0</v>
      </c>
      <c r="Q373" s="152">
        <f t="shared" si="126"/>
        <v>0</v>
      </c>
      <c r="R373" s="152">
        <f t="shared" si="126"/>
        <v>0</v>
      </c>
    </row>
    <row r="374" spans="1:19" ht="54" customHeight="1">
      <c r="A374" s="150"/>
      <c r="B374" s="154"/>
      <c r="C374" s="154">
        <v>2820</v>
      </c>
      <c r="D374" s="153" t="s">
        <v>336</v>
      </c>
      <c r="E374" s="155">
        <f>F374+O374</f>
        <v>60000</v>
      </c>
      <c r="F374" s="155">
        <f>G374+K374+L374+J374+N374+M374</f>
        <v>60000</v>
      </c>
      <c r="G374" s="155">
        <f>H374+I374</f>
        <v>0</v>
      </c>
      <c r="H374" s="156"/>
      <c r="I374" s="156"/>
      <c r="J374" s="156">
        <f>'zał 26'!E23</f>
        <v>60000</v>
      </c>
      <c r="K374" s="156"/>
      <c r="L374" s="156"/>
      <c r="M374" s="157"/>
      <c r="N374" s="157"/>
      <c r="O374" s="157"/>
      <c r="P374" s="157"/>
      <c r="Q374" s="156"/>
      <c r="R374" s="156"/>
      <c r="S374" s="228"/>
    </row>
    <row r="375" spans="1:19" ht="22.5" customHeight="1">
      <c r="A375" s="150"/>
      <c r="B375" s="154"/>
      <c r="C375" s="154">
        <v>4300</v>
      </c>
      <c r="D375" s="153" t="s">
        <v>233</v>
      </c>
      <c r="E375" s="157">
        <f>F375+R375</f>
        <v>301900</v>
      </c>
      <c r="F375" s="155">
        <f>G375+K375+L375+J375+N375</f>
        <v>301900</v>
      </c>
      <c r="G375" s="155">
        <f>H375+I375</f>
        <v>301900</v>
      </c>
      <c r="H375" s="156"/>
      <c r="I375" s="156">
        <f>180000+20000+12900+89000</f>
        <v>301900</v>
      </c>
      <c r="J375" s="156"/>
      <c r="K375" s="156"/>
      <c r="L375" s="156"/>
      <c r="M375" s="157"/>
      <c r="N375" s="157"/>
      <c r="O375" s="157"/>
      <c r="P375" s="157"/>
      <c r="Q375" s="156"/>
      <c r="R375" s="156"/>
      <c r="S375" s="228"/>
    </row>
    <row r="376" spans="1:18" ht="22.5" customHeight="1">
      <c r="A376" s="150"/>
      <c r="B376" s="150">
        <v>92695</v>
      </c>
      <c r="C376" s="150"/>
      <c r="D376" s="161" t="s">
        <v>30</v>
      </c>
      <c r="E376" s="152">
        <f aca="true" t="shared" si="127" ref="E376:R376">SUM(E377:E380)</f>
        <v>42280</v>
      </c>
      <c r="F376" s="152">
        <f t="shared" si="127"/>
        <v>42280</v>
      </c>
      <c r="G376" s="152">
        <f t="shared" si="127"/>
        <v>39480</v>
      </c>
      <c r="H376" s="152">
        <f t="shared" si="127"/>
        <v>0</v>
      </c>
      <c r="I376" s="152">
        <f t="shared" si="127"/>
        <v>39480</v>
      </c>
      <c r="J376" s="152">
        <f t="shared" si="127"/>
        <v>2800</v>
      </c>
      <c r="K376" s="152">
        <f t="shared" si="127"/>
        <v>0</v>
      </c>
      <c r="L376" s="152">
        <f t="shared" si="127"/>
        <v>0</v>
      </c>
      <c r="M376" s="152">
        <f t="shared" si="127"/>
        <v>0</v>
      </c>
      <c r="N376" s="152">
        <f t="shared" si="127"/>
        <v>0</v>
      </c>
      <c r="O376" s="152">
        <f t="shared" si="127"/>
        <v>0</v>
      </c>
      <c r="P376" s="152">
        <f t="shared" si="127"/>
        <v>0</v>
      </c>
      <c r="Q376" s="152">
        <f t="shared" si="127"/>
        <v>0</v>
      </c>
      <c r="R376" s="152">
        <f t="shared" si="127"/>
        <v>0</v>
      </c>
    </row>
    <row r="377" spans="1:18" ht="54" customHeight="1">
      <c r="A377" s="154"/>
      <c r="B377" s="154"/>
      <c r="C377" s="154">
        <v>2320</v>
      </c>
      <c r="D377" s="153" t="s">
        <v>342</v>
      </c>
      <c r="E377" s="155">
        <f>F377+O377</f>
        <v>2800</v>
      </c>
      <c r="F377" s="155">
        <f>G377+K377+L377+J377+N377+M377</f>
        <v>2800</v>
      </c>
      <c r="G377" s="155">
        <f>H377+I377</f>
        <v>0</v>
      </c>
      <c r="H377" s="156"/>
      <c r="I377" s="156"/>
      <c r="J377" s="157">
        <f>'zał 25'!E14</f>
        <v>2800</v>
      </c>
      <c r="K377" s="156"/>
      <c r="L377" s="156"/>
      <c r="M377" s="158"/>
      <c r="N377" s="157"/>
      <c r="O377" s="157"/>
      <c r="P377" s="156"/>
      <c r="Q377" s="156"/>
      <c r="R377" s="156"/>
    </row>
    <row r="378" spans="1:18" ht="22.5" customHeight="1">
      <c r="A378" s="154"/>
      <c r="B378" s="154"/>
      <c r="C378" s="154">
        <v>4210</v>
      </c>
      <c r="D378" s="153" t="s">
        <v>209</v>
      </c>
      <c r="E378" s="155">
        <f>F378+O378</f>
        <v>27462</v>
      </c>
      <c r="F378" s="155">
        <f>G378+K378+L378+J378+N378+M378</f>
        <v>27462</v>
      </c>
      <c r="G378" s="155">
        <f>H378+I378</f>
        <v>27462</v>
      </c>
      <c r="H378" s="156"/>
      <c r="I378" s="156">
        <f>300+1200+1932+2800+4800+3475+1000+11955</f>
        <v>27462</v>
      </c>
      <c r="J378" s="178"/>
      <c r="K378" s="178"/>
      <c r="L378" s="178"/>
      <c r="M378" s="156"/>
      <c r="N378" s="156"/>
      <c r="O378" s="156"/>
      <c r="P378" s="156"/>
      <c r="Q378" s="156"/>
      <c r="R378" s="156"/>
    </row>
    <row r="379" spans="1:18" ht="22.5" customHeight="1">
      <c r="A379" s="154"/>
      <c r="B379" s="154"/>
      <c r="C379" s="154">
        <v>4270</v>
      </c>
      <c r="D379" s="153" t="s">
        <v>212</v>
      </c>
      <c r="E379" s="155">
        <f>F379+O379</f>
        <v>5000</v>
      </c>
      <c r="F379" s="155">
        <f>G379+K379+L379+J379+N379+M379</f>
        <v>5000</v>
      </c>
      <c r="G379" s="155">
        <f>H379+I379</f>
        <v>5000</v>
      </c>
      <c r="H379" s="156"/>
      <c r="I379" s="157">
        <f>5000</f>
        <v>5000</v>
      </c>
      <c r="J379" s="156"/>
      <c r="K379" s="156"/>
      <c r="L379" s="156"/>
      <c r="M379" s="156"/>
      <c r="N379" s="156"/>
      <c r="O379" s="156"/>
      <c r="P379" s="156"/>
      <c r="Q379" s="156"/>
      <c r="R379" s="156"/>
    </row>
    <row r="380" spans="1:18" ht="22.5" customHeight="1">
      <c r="A380" s="154"/>
      <c r="B380" s="154"/>
      <c r="C380" s="154">
        <v>4300</v>
      </c>
      <c r="D380" s="153" t="s">
        <v>233</v>
      </c>
      <c r="E380" s="155">
        <f>F380+O380</f>
        <v>7018</v>
      </c>
      <c r="F380" s="155">
        <f>G380+K380+L380+J380+N380+M380</f>
        <v>7018</v>
      </c>
      <c r="G380" s="155">
        <f>H380+I380</f>
        <v>7018</v>
      </c>
      <c r="H380" s="156"/>
      <c r="I380" s="157">
        <f>4018+3000</f>
        <v>7018</v>
      </c>
      <c r="J380" s="156"/>
      <c r="K380" s="156"/>
      <c r="L380" s="156"/>
      <c r="M380" s="156"/>
      <c r="N380" s="156"/>
      <c r="O380" s="156"/>
      <c r="P380" s="156"/>
      <c r="Q380" s="156"/>
      <c r="R380" s="156"/>
    </row>
    <row r="381" spans="1:18" ht="22.5" customHeight="1">
      <c r="A381" s="541" t="s">
        <v>163</v>
      </c>
      <c r="B381" s="541"/>
      <c r="C381" s="541"/>
      <c r="D381" s="541"/>
      <c r="E381" s="152">
        <f aca="true" t="shared" si="128" ref="E381:R381">E367+E352+E323+E319+E257+E237+E112+E107+E103+E99+E85+E48+E39+E30+E16+E10+E7+E234+E302</f>
        <v>49285652.46</v>
      </c>
      <c r="F381" s="152">
        <f t="shared" si="128"/>
        <v>36997939.46</v>
      </c>
      <c r="G381" s="152">
        <f t="shared" si="128"/>
        <v>29306010.46</v>
      </c>
      <c r="H381" s="152">
        <f t="shared" si="128"/>
        <v>18937123.2</v>
      </c>
      <c r="I381" s="152">
        <f t="shared" si="128"/>
        <v>10368887.26</v>
      </c>
      <c r="J381" s="152">
        <f t="shared" si="128"/>
        <v>3221960</v>
      </c>
      <c r="K381" s="152">
        <f t="shared" si="128"/>
        <v>2528540</v>
      </c>
      <c r="L381" s="152">
        <f t="shared" si="128"/>
        <v>887554.46</v>
      </c>
      <c r="M381" s="152">
        <f t="shared" si="128"/>
        <v>443405</v>
      </c>
      <c r="N381" s="152">
        <f t="shared" si="128"/>
        <v>1498024</v>
      </c>
      <c r="O381" s="152">
        <f t="shared" si="128"/>
        <v>12287713</v>
      </c>
      <c r="P381" s="152">
        <f t="shared" si="128"/>
        <v>12287713</v>
      </c>
      <c r="Q381" s="152">
        <f t="shared" si="128"/>
        <v>4461613</v>
      </c>
      <c r="R381" s="152">
        <f t="shared" si="128"/>
        <v>0</v>
      </c>
    </row>
    <row r="384" ht="15.75">
      <c r="Q384" s="132"/>
    </row>
    <row r="385" ht="15.75">
      <c r="E385" s="229"/>
    </row>
    <row r="386" ht="15.75">
      <c r="E386" s="230"/>
    </row>
  </sheetData>
  <sheetProtection selectLockedCells="1" selectUnlockedCells="1"/>
  <mergeCells count="21">
    <mergeCell ref="A381:D381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36" r:id="rId1"/>
  <headerFooter alignWithMargins="0">
    <oddHeader>&amp;R&amp;"Times New Roman,Normalny"&amp;12Załącznik Nr 7 do Uchwały  Nr III/12/2010 Rady Miejskiej w Barlinku z dnia 30 grudnia 2010</oddHeader>
    <oddFooter>&amp;C&amp;"Times New Roman,Normalny"&amp;12Strona &amp;P z &amp;N</oddFooter>
  </headerFooter>
  <rowBreaks count="7" manualBreakCount="7">
    <brk id="47" max="255" man="1"/>
    <brk id="98" max="255" man="1"/>
    <brk id="144" max="255" man="1"/>
    <brk id="194" max="255" man="1"/>
    <brk id="236" max="255" man="1"/>
    <brk id="280" max="255" man="1"/>
    <brk id="3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showGridLines="0" defaultGridColor="0" view="pageBreakPreview" zoomScaleSheetLayoutView="100" colorId="15" workbookViewId="0" topLeftCell="A1">
      <pane ySplit="6" topLeftCell="P23" activePane="bottomLeft" state="frozen"/>
      <selection pane="topLeft" activeCell="A1" sqref="A1"/>
      <selection pane="bottomLeft" activeCell="H68" sqref="H68"/>
    </sheetView>
  </sheetViews>
  <sheetFormatPr defaultColWidth="9.00390625" defaultRowHeight="12.75"/>
  <cols>
    <col min="1" max="1" width="5.625" style="15" customWidth="1"/>
    <col min="2" max="2" width="8.75390625" style="15" customWidth="1"/>
    <col min="3" max="3" width="6.875" style="15" customWidth="1"/>
    <col min="4" max="4" width="44.875" style="92" customWidth="1"/>
    <col min="5" max="5" width="14.875" style="92" customWidth="1"/>
    <col min="6" max="6" width="10.625" style="92" customWidth="1"/>
    <col min="7" max="7" width="13.375" style="92" customWidth="1"/>
    <col min="8" max="12" width="10.625" style="92" customWidth="1"/>
    <col min="13" max="13" width="13.375" style="92" customWidth="1"/>
    <col min="14" max="16" width="10.625" style="92" customWidth="1"/>
    <col min="17" max="18" width="12.25390625" style="92" customWidth="1"/>
    <col min="19" max="16384" width="9.00390625" style="15" customWidth="1"/>
  </cols>
  <sheetData>
    <row r="1" spans="1:18" ht="52.5" customHeight="1">
      <c r="A1" s="529" t="s">
        <v>343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5" customHeight="1">
      <c r="A2" s="536" t="s">
        <v>1</v>
      </c>
      <c r="B2" s="536" t="s">
        <v>21</v>
      </c>
      <c r="C2" s="536" t="s">
        <v>22</v>
      </c>
      <c r="D2" s="536" t="s">
        <v>186</v>
      </c>
      <c r="E2" s="536" t="s">
        <v>187</v>
      </c>
      <c r="F2" s="537" t="s">
        <v>188</v>
      </c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</row>
    <row r="3" spans="1:18" s="231" customFormat="1" ht="13.5" customHeight="1">
      <c r="A3" s="536"/>
      <c r="B3" s="536"/>
      <c r="C3" s="536"/>
      <c r="D3" s="536"/>
      <c r="E3" s="536"/>
      <c r="F3" s="538" t="s">
        <v>177</v>
      </c>
      <c r="G3" s="539" t="s">
        <v>25</v>
      </c>
      <c r="H3" s="539"/>
      <c r="I3" s="539"/>
      <c r="J3" s="539"/>
      <c r="K3" s="539"/>
      <c r="L3" s="539"/>
      <c r="M3" s="539"/>
      <c r="N3" s="539"/>
      <c r="O3" s="540" t="s">
        <v>189</v>
      </c>
      <c r="P3" s="539" t="s">
        <v>25</v>
      </c>
      <c r="Q3" s="539"/>
      <c r="R3" s="539"/>
    </row>
    <row r="4" spans="1:18" s="231" customFormat="1" ht="12.75" customHeight="1">
      <c r="A4" s="536"/>
      <c r="B4" s="536"/>
      <c r="C4" s="536"/>
      <c r="D4" s="536"/>
      <c r="E4" s="536"/>
      <c r="F4" s="538"/>
      <c r="G4" s="538" t="s">
        <v>190</v>
      </c>
      <c r="H4" s="539" t="s">
        <v>191</v>
      </c>
      <c r="I4" s="539"/>
      <c r="J4" s="542" t="s">
        <v>192</v>
      </c>
      <c r="K4" s="542" t="s">
        <v>193</v>
      </c>
      <c r="L4" s="542" t="s">
        <v>26</v>
      </c>
      <c r="M4" s="542" t="s">
        <v>194</v>
      </c>
      <c r="N4" s="542" t="s">
        <v>195</v>
      </c>
      <c r="O4" s="540"/>
      <c r="P4" s="542" t="s">
        <v>196</v>
      </c>
      <c r="Q4" s="233" t="s">
        <v>25</v>
      </c>
      <c r="R4" s="542" t="s">
        <v>197</v>
      </c>
    </row>
    <row r="5" spans="1:18" s="231" customFormat="1" ht="84">
      <c r="A5" s="536"/>
      <c r="B5" s="536"/>
      <c r="C5" s="536"/>
      <c r="D5" s="536"/>
      <c r="E5" s="536"/>
      <c r="F5" s="538"/>
      <c r="G5" s="538"/>
      <c r="H5" s="138" t="s">
        <v>198</v>
      </c>
      <c r="I5" s="232" t="s">
        <v>199</v>
      </c>
      <c r="J5" s="542"/>
      <c r="K5" s="542"/>
      <c r="L5" s="542"/>
      <c r="M5" s="542"/>
      <c r="N5" s="542"/>
      <c r="O5" s="540"/>
      <c r="P5" s="542"/>
      <c r="Q5" s="234" t="s">
        <v>200</v>
      </c>
      <c r="R5" s="542"/>
    </row>
    <row r="6" spans="1:18" s="94" customFormat="1" ht="12.75">
      <c r="A6" s="235">
        <v>1</v>
      </c>
      <c r="B6" s="235">
        <v>2</v>
      </c>
      <c r="C6" s="235">
        <v>3</v>
      </c>
      <c r="D6" s="235">
        <v>4</v>
      </c>
      <c r="E6" s="235">
        <v>5</v>
      </c>
      <c r="F6" s="235">
        <v>6</v>
      </c>
      <c r="G6" s="235">
        <v>7</v>
      </c>
      <c r="H6" s="235">
        <v>8</v>
      </c>
      <c r="I6" s="235">
        <v>9</v>
      </c>
      <c r="J6" s="235">
        <v>10</v>
      </c>
      <c r="K6" s="235">
        <v>11</v>
      </c>
      <c r="L6" s="235">
        <v>12</v>
      </c>
      <c r="M6" s="235">
        <v>13</v>
      </c>
      <c r="N6" s="235">
        <v>14</v>
      </c>
      <c r="O6" s="235">
        <v>15</v>
      </c>
      <c r="P6" s="235">
        <v>16</v>
      </c>
      <c r="Q6" s="235">
        <v>17</v>
      </c>
      <c r="R6" s="235">
        <v>18</v>
      </c>
    </row>
    <row r="7" spans="1:18" ht="18.75" customHeight="1">
      <c r="A7" s="43">
        <v>750</v>
      </c>
      <c r="B7" s="43"/>
      <c r="C7" s="43"/>
      <c r="D7" s="26" t="s">
        <v>56</v>
      </c>
      <c r="E7" s="27">
        <f aca="true" t="shared" si="0" ref="E7:R7">E8</f>
        <v>146200</v>
      </c>
      <c r="F7" s="27">
        <f t="shared" si="0"/>
        <v>146200</v>
      </c>
      <c r="G7" s="27">
        <f t="shared" si="0"/>
        <v>146200</v>
      </c>
      <c r="H7" s="27">
        <f t="shared" si="0"/>
        <v>146200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1:18" s="57" customFormat="1" ht="18.75" customHeight="1">
      <c r="A8" s="44"/>
      <c r="B8" s="44">
        <v>75011</v>
      </c>
      <c r="C8" s="44"/>
      <c r="D8" s="29" t="s">
        <v>165</v>
      </c>
      <c r="E8" s="30">
        <f aca="true" t="shared" si="1" ref="E8:R8">SUM(E9:E12)</f>
        <v>146200</v>
      </c>
      <c r="F8" s="30">
        <f t="shared" si="1"/>
        <v>146200</v>
      </c>
      <c r="G8" s="30">
        <f t="shared" si="1"/>
        <v>146200</v>
      </c>
      <c r="H8" s="30">
        <f t="shared" si="1"/>
        <v>146200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0</v>
      </c>
      <c r="R8" s="30">
        <f t="shared" si="1"/>
        <v>0</v>
      </c>
    </row>
    <row r="9" spans="1:18" ht="18" customHeight="1">
      <c r="A9" s="44"/>
      <c r="B9" s="46"/>
      <c r="C9" s="46">
        <v>4010</v>
      </c>
      <c r="D9" s="32" t="s">
        <v>224</v>
      </c>
      <c r="E9" s="236">
        <f>F9+P9</f>
        <v>116000</v>
      </c>
      <c r="F9" s="236">
        <f>G9+K9+L9+J9+N9</f>
        <v>116000</v>
      </c>
      <c r="G9" s="236">
        <f>H9+I9</f>
        <v>116000</v>
      </c>
      <c r="H9" s="33">
        <v>116000</v>
      </c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8" customHeight="1">
      <c r="A10" s="44"/>
      <c r="B10" s="46"/>
      <c r="C10" s="46">
        <v>4040</v>
      </c>
      <c r="D10" s="32" t="s">
        <v>225</v>
      </c>
      <c r="E10" s="236">
        <f>F10+P10</f>
        <v>9400</v>
      </c>
      <c r="F10" s="236">
        <f>G10+K10+L10+J10+N10</f>
        <v>9400</v>
      </c>
      <c r="G10" s="236">
        <f>H10+I10</f>
        <v>9400</v>
      </c>
      <c r="H10" s="33">
        <v>9400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" customHeight="1">
      <c r="A11" s="44"/>
      <c r="B11" s="46"/>
      <c r="C11" s="46">
        <v>4110</v>
      </c>
      <c r="D11" s="32" t="s">
        <v>226</v>
      </c>
      <c r="E11" s="236">
        <f>F11+P11</f>
        <v>16797</v>
      </c>
      <c r="F11" s="236">
        <f>G11+K11+L11+J11+N11</f>
        <v>16797</v>
      </c>
      <c r="G11" s="236">
        <f>H11+I11</f>
        <v>16797</v>
      </c>
      <c r="H11" s="33">
        <v>16797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8" customHeight="1">
      <c r="A12" s="44"/>
      <c r="B12" s="46"/>
      <c r="C12" s="46">
        <v>4120</v>
      </c>
      <c r="D12" s="32" t="s">
        <v>227</v>
      </c>
      <c r="E12" s="236">
        <f>F12+P12</f>
        <v>4003</v>
      </c>
      <c r="F12" s="236">
        <f>G12+K12+L12+J12+N12</f>
        <v>4003</v>
      </c>
      <c r="G12" s="236">
        <f>H12+I12</f>
        <v>4003</v>
      </c>
      <c r="H12" s="33">
        <v>4003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45.75" customHeight="1">
      <c r="A13" s="43">
        <v>751</v>
      </c>
      <c r="B13" s="43"/>
      <c r="C13" s="43"/>
      <c r="D13" s="97" t="s">
        <v>167</v>
      </c>
      <c r="E13" s="27">
        <f aca="true" t="shared" si="2" ref="E13:R13">E14</f>
        <v>3270</v>
      </c>
      <c r="F13" s="27">
        <f t="shared" si="2"/>
        <v>3270</v>
      </c>
      <c r="G13" s="27">
        <f t="shared" si="2"/>
        <v>3270</v>
      </c>
      <c r="H13" s="27">
        <f t="shared" si="2"/>
        <v>3270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7">
        <f t="shared" si="2"/>
        <v>0</v>
      </c>
      <c r="P13" s="27">
        <f t="shared" si="2"/>
        <v>0</v>
      </c>
      <c r="Q13" s="27">
        <f t="shared" si="2"/>
        <v>0</v>
      </c>
      <c r="R13" s="27">
        <f t="shared" si="2"/>
        <v>0</v>
      </c>
    </row>
    <row r="14" spans="1:18" ht="30.75" customHeight="1">
      <c r="A14" s="44"/>
      <c r="B14" s="44">
        <v>75101</v>
      </c>
      <c r="C14" s="44"/>
      <c r="D14" s="99" t="s">
        <v>168</v>
      </c>
      <c r="E14" s="30">
        <f aca="true" t="shared" si="3" ref="E14:R14">SUM(E15:E16)</f>
        <v>3270</v>
      </c>
      <c r="F14" s="30">
        <f t="shared" si="3"/>
        <v>3270</v>
      </c>
      <c r="G14" s="30">
        <f t="shared" si="3"/>
        <v>3270</v>
      </c>
      <c r="H14" s="30">
        <f t="shared" si="3"/>
        <v>3270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</row>
    <row r="15" spans="1:18" ht="18" customHeight="1">
      <c r="A15" s="237"/>
      <c r="B15" s="46"/>
      <c r="C15" s="46">
        <v>4210</v>
      </c>
      <c r="D15" s="32" t="s">
        <v>209</v>
      </c>
      <c r="E15" s="236">
        <f>F15+P15</f>
        <v>2190</v>
      </c>
      <c r="F15" s="236">
        <f>G15+K15+L15+J15+N15</f>
        <v>2190</v>
      </c>
      <c r="G15" s="236">
        <f>H15+I15</f>
        <v>2190</v>
      </c>
      <c r="H15" s="33">
        <v>2190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8" customHeight="1">
      <c r="A16" s="237"/>
      <c r="B16" s="46"/>
      <c r="C16" s="46">
        <v>4300</v>
      </c>
      <c r="D16" s="32" t="s">
        <v>205</v>
      </c>
      <c r="E16" s="33">
        <f>F16+R16</f>
        <v>1080</v>
      </c>
      <c r="F16" s="236">
        <f>G16+K16+L16+J16+N16</f>
        <v>1080</v>
      </c>
      <c r="G16" s="236">
        <f>H16+I16</f>
        <v>1080</v>
      </c>
      <c r="H16" s="33">
        <v>1080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8.75" customHeight="1">
      <c r="A17" s="43">
        <v>852</v>
      </c>
      <c r="B17" s="43"/>
      <c r="C17" s="43"/>
      <c r="D17" s="26" t="s">
        <v>130</v>
      </c>
      <c r="E17" s="27">
        <f aca="true" t="shared" si="4" ref="E17:R17">E18+E35+E49+E51</f>
        <v>5718000</v>
      </c>
      <c r="F17" s="27">
        <f t="shared" si="4"/>
        <v>5718000</v>
      </c>
      <c r="G17" s="27">
        <f t="shared" si="4"/>
        <v>652140</v>
      </c>
      <c r="H17" s="27">
        <f t="shared" si="4"/>
        <v>479880</v>
      </c>
      <c r="I17" s="27">
        <f t="shared" si="4"/>
        <v>0</v>
      </c>
      <c r="J17" s="27">
        <f t="shared" si="4"/>
        <v>0</v>
      </c>
      <c r="K17" s="27">
        <f t="shared" si="4"/>
        <v>5065860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0</v>
      </c>
      <c r="Q17" s="27">
        <f t="shared" si="4"/>
        <v>0</v>
      </c>
      <c r="R17" s="27">
        <f t="shared" si="4"/>
        <v>0</v>
      </c>
    </row>
    <row r="18" spans="1:18" ht="18.75" customHeight="1">
      <c r="A18" s="44"/>
      <c r="B18" s="44">
        <v>85203</v>
      </c>
      <c r="C18" s="44"/>
      <c r="D18" s="29" t="s">
        <v>170</v>
      </c>
      <c r="E18" s="30">
        <f aca="true" t="shared" si="5" ref="E18:R18">SUM(E19:E34)</f>
        <v>378000</v>
      </c>
      <c r="F18" s="30">
        <f t="shared" si="5"/>
        <v>378000</v>
      </c>
      <c r="G18" s="30">
        <f t="shared" si="5"/>
        <v>378000</v>
      </c>
      <c r="H18" s="30">
        <f t="shared" si="5"/>
        <v>265900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5"/>
        <v>0</v>
      </c>
      <c r="P18" s="30">
        <f t="shared" si="5"/>
        <v>0</v>
      </c>
      <c r="Q18" s="30">
        <f t="shared" si="5"/>
        <v>0</v>
      </c>
      <c r="R18" s="30">
        <f t="shared" si="5"/>
        <v>0</v>
      </c>
    </row>
    <row r="19" spans="1:18" ht="18" customHeight="1">
      <c r="A19" s="237"/>
      <c r="B19" s="46"/>
      <c r="C19" s="46">
        <v>4010</v>
      </c>
      <c r="D19" s="32" t="s">
        <v>224</v>
      </c>
      <c r="E19" s="236">
        <f>F19+P19</f>
        <v>204600</v>
      </c>
      <c r="F19" s="236">
        <f aca="true" t="shared" si="6" ref="F19:F34">G19+K19+L19+J19+N19</f>
        <v>204600</v>
      </c>
      <c r="G19" s="236">
        <f>H19+I19</f>
        <v>204600</v>
      </c>
      <c r="H19" s="33">
        <v>204600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8" customHeight="1">
      <c r="A20" s="237"/>
      <c r="B20" s="46"/>
      <c r="C20" s="46">
        <v>4040</v>
      </c>
      <c r="D20" s="32" t="s">
        <v>225</v>
      </c>
      <c r="E20" s="33">
        <f aca="true" t="shared" si="7" ref="E20:E34">F20+R20</f>
        <v>12300</v>
      </c>
      <c r="F20" s="236">
        <f t="shared" si="6"/>
        <v>12300</v>
      </c>
      <c r="G20" s="236">
        <f>H20+I20</f>
        <v>12300</v>
      </c>
      <c r="H20" s="33">
        <v>12300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" customHeight="1">
      <c r="A21" s="237"/>
      <c r="B21" s="46"/>
      <c r="C21" s="46">
        <v>4110</v>
      </c>
      <c r="D21" s="32" t="s">
        <v>226</v>
      </c>
      <c r="E21" s="33">
        <f t="shared" si="7"/>
        <v>34000</v>
      </c>
      <c r="F21" s="236">
        <f t="shared" si="6"/>
        <v>34000</v>
      </c>
      <c r="G21" s="236">
        <f>H21+I21</f>
        <v>34000</v>
      </c>
      <c r="H21" s="33">
        <v>34000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8" customHeight="1">
      <c r="A22" s="237"/>
      <c r="B22" s="46"/>
      <c r="C22" s="46">
        <v>4120</v>
      </c>
      <c r="D22" s="32" t="s">
        <v>227</v>
      </c>
      <c r="E22" s="33">
        <f t="shared" si="7"/>
        <v>5000</v>
      </c>
      <c r="F22" s="236">
        <f t="shared" si="6"/>
        <v>5000</v>
      </c>
      <c r="G22" s="236">
        <f>H22+I22</f>
        <v>5000</v>
      </c>
      <c r="H22" s="33">
        <v>5000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8" customHeight="1">
      <c r="A23" s="237"/>
      <c r="B23" s="46"/>
      <c r="C23" s="46">
        <v>4170</v>
      </c>
      <c r="D23" s="32" t="s">
        <v>229</v>
      </c>
      <c r="E23" s="33">
        <f t="shared" si="7"/>
        <v>10000</v>
      </c>
      <c r="F23" s="236">
        <f t="shared" si="6"/>
        <v>10000</v>
      </c>
      <c r="G23" s="236">
        <f>H23+I23</f>
        <v>10000</v>
      </c>
      <c r="H23" s="33">
        <v>10000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8" customHeight="1">
      <c r="A24" s="237"/>
      <c r="B24" s="46"/>
      <c r="C24" s="46">
        <v>4210</v>
      </c>
      <c r="D24" s="32" t="s">
        <v>209</v>
      </c>
      <c r="E24" s="33">
        <f t="shared" si="7"/>
        <v>32500</v>
      </c>
      <c r="F24" s="236">
        <f t="shared" si="6"/>
        <v>32500</v>
      </c>
      <c r="G24" s="33">
        <v>32500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8" customHeight="1">
      <c r="A25" s="237"/>
      <c r="B25" s="46"/>
      <c r="C25" s="46">
        <v>4260</v>
      </c>
      <c r="D25" s="32" t="s">
        <v>267</v>
      </c>
      <c r="E25" s="33">
        <f t="shared" si="7"/>
        <v>33000</v>
      </c>
      <c r="F25" s="236">
        <f t="shared" si="6"/>
        <v>33000</v>
      </c>
      <c r="G25" s="33">
        <v>33000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8" customHeight="1">
      <c r="A26" s="237"/>
      <c r="B26" s="46"/>
      <c r="C26" s="46">
        <v>4270</v>
      </c>
      <c r="D26" s="32" t="s">
        <v>212</v>
      </c>
      <c r="E26" s="33">
        <f t="shared" si="7"/>
        <v>15000</v>
      </c>
      <c r="F26" s="236">
        <f t="shared" si="6"/>
        <v>15000</v>
      </c>
      <c r="G26" s="33">
        <v>15000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8" customHeight="1">
      <c r="A27" s="237"/>
      <c r="B27" s="46"/>
      <c r="C27" s="46">
        <v>4280</v>
      </c>
      <c r="D27" s="32" t="s">
        <v>232</v>
      </c>
      <c r="E27" s="33">
        <f t="shared" si="7"/>
        <v>800</v>
      </c>
      <c r="F27" s="236">
        <f t="shared" si="6"/>
        <v>800</v>
      </c>
      <c r="G27" s="33">
        <v>800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8" customHeight="1">
      <c r="A28" s="237"/>
      <c r="B28" s="46"/>
      <c r="C28" s="46">
        <v>4300</v>
      </c>
      <c r="D28" s="32" t="s">
        <v>205</v>
      </c>
      <c r="E28" s="33">
        <f t="shared" si="7"/>
        <v>20000</v>
      </c>
      <c r="F28" s="236">
        <f t="shared" si="6"/>
        <v>20000</v>
      </c>
      <c r="G28" s="33">
        <v>20000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18" customHeight="1">
      <c r="A29" s="237"/>
      <c r="B29" s="46"/>
      <c r="C29" s="46">
        <v>4350</v>
      </c>
      <c r="D29" s="32" t="s">
        <v>234</v>
      </c>
      <c r="E29" s="33">
        <f t="shared" si="7"/>
        <v>400</v>
      </c>
      <c r="F29" s="236">
        <f t="shared" si="6"/>
        <v>400</v>
      </c>
      <c r="G29" s="33">
        <v>400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30.75" customHeight="1">
      <c r="A30" s="237"/>
      <c r="B30" s="46"/>
      <c r="C30" s="46">
        <v>4370</v>
      </c>
      <c r="D30" s="32" t="s">
        <v>344</v>
      </c>
      <c r="E30" s="33">
        <f t="shared" si="7"/>
        <v>600</v>
      </c>
      <c r="F30" s="236">
        <f t="shared" si="6"/>
        <v>600</v>
      </c>
      <c r="G30" s="33">
        <v>600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8" customHeight="1">
      <c r="A31" s="237"/>
      <c r="B31" s="46"/>
      <c r="C31" s="46">
        <v>4410</v>
      </c>
      <c r="D31" s="32" t="s">
        <v>238</v>
      </c>
      <c r="E31" s="33">
        <f t="shared" si="7"/>
        <v>400</v>
      </c>
      <c r="F31" s="236">
        <f t="shared" si="6"/>
        <v>400</v>
      </c>
      <c r="G31" s="33">
        <v>400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8" customHeight="1">
      <c r="A32" s="237"/>
      <c r="B32" s="46"/>
      <c r="C32" s="46">
        <v>4430</v>
      </c>
      <c r="D32" s="32" t="s">
        <v>214</v>
      </c>
      <c r="E32" s="33">
        <f t="shared" si="7"/>
        <v>1100</v>
      </c>
      <c r="F32" s="236">
        <f t="shared" si="6"/>
        <v>1100</v>
      </c>
      <c r="G32" s="33">
        <v>1100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30.75" customHeight="1">
      <c r="A33" s="237"/>
      <c r="B33" s="46"/>
      <c r="C33" s="46">
        <v>4440</v>
      </c>
      <c r="D33" s="32" t="s">
        <v>345</v>
      </c>
      <c r="E33" s="33">
        <f t="shared" si="7"/>
        <v>7700</v>
      </c>
      <c r="F33" s="236">
        <f t="shared" si="6"/>
        <v>7700</v>
      </c>
      <c r="G33" s="33">
        <v>7700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30.75" customHeight="1">
      <c r="A34" s="237"/>
      <c r="B34" s="46"/>
      <c r="C34" s="46">
        <v>4700</v>
      </c>
      <c r="D34" s="32" t="s">
        <v>242</v>
      </c>
      <c r="E34" s="33">
        <f t="shared" si="7"/>
        <v>600</v>
      </c>
      <c r="F34" s="236">
        <f t="shared" si="6"/>
        <v>600</v>
      </c>
      <c r="G34" s="33">
        <v>600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45.75" customHeight="1">
      <c r="A35" s="238"/>
      <c r="B35" s="44">
        <v>85212</v>
      </c>
      <c r="C35" s="44"/>
      <c r="D35" s="29" t="s">
        <v>346</v>
      </c>
      <c r="E35" s="30">
        <f aca="true" t="shared" si="8" ref="E35:R35">SUM(E36:E48)</f>
        <v>5250000</v>
      </c>
      <c r="F35" s="30">
        <f t="shared" si="8"/>
        <v>5250000</v>
      </c>
      <c r="G35" s="30">
        <f t="shared" si="8"/>
        <v>184140</v>
      </c>
      <c r="H35" s="30">
        <f t="shared" si="8"/>
        <v>143930</v>
      </c>
      <c r="I35" s="30">
        <f t="shared" si="8"/>
        <v>0</v>
      </c>
      <c r="J35" s="30">
        <f t="shared" si="8"/>
        <v>0</v>
      </c>
      <c r="K35" s="30">
        <f t="shared" si="8"/>
        <v>5065860</v>
      </c>
      <c r="L35" s="30">
        <f t="shared" si="8"/>
        <v>0</v>
      </c>
      <c r="M35" s="30">
        <f t="shared" si="8"/>
        <v>0</v>
      </c>
      <c r="N35" s="30">
        <f t="shared" si="8"/>
        <v>0</v>
      </c>
      <c r="O35" s="30">
        <f t="shared" si="8"/>
        <v>0</v>
      </c>
      <c r="P35" s="30">
        <f t="shared" si="8"/>
        <v>0</v>
      </c>
      <c r="Q35" s="30">
        <f t="shared" si="8"/>
        <v>0</v>
      </c>
      <c r="R35" s="30">
        <f t="shared" si="8"/>
        <v>0</v>
      </c>
    </row>
    <row r="36" spans="1:18" ht="18" customHeight="1">
      <c r="A36" s="237"/>
      <c r="B36" s="46"/>
      <c r="C36" s="46">
        <v>3110</v>
      </c>
      <c r="D36" s="32" t="s">
        <v>316</v>
      </c>
      <c r="E36" s="33">
        <f>F36+R36</f>
        <v>5065860</v>
      </c>
      <c r="F36" s="236">
        <f aca="true" t="shared" si="9" ref="F36:F48">G36+K36+L36+J36+N36</f>
        <v>5065860</v>
      </c>
      <c r="G36" s="33"/>
      <c r="H36" s="33"/>
      <c r="I36" s="33"/>
      <c r="J36" s="33"/>
      <c r="K36" s="33">
        <v>5065860</v>
      </c>
      <c r="L36" s="33"/>
      <c r="M36" s="33"/>
      <c r="N36" s="33"/>
      <c r="O36" s="33"/>
      <c r="P36" s="33"/>
      <c r="Q36"/>
      <c r="R36" s="33"/>
    </row>
    <row r="37" spans="1:18" ht="18" customHeight="1">
      <c r="A37" s="237"/>
      <c r="B37" s="46"/>
      <c r="C37" s="46">
        <v>4010</v>
      </c>
      <c r="D37" s="32" t="s">
        <v>224</v>
      </c>
      <c r="E37" s="236">
        <f>F37+P37</f>
        <v>109600</v>
      </c>
      <c r="F37" s="236">
        <f t="shared" si="9"/>
        <v>109600</v>
      </c>
      <c r="G37" s="236">
        <f>H37+I37</f>
        <v>109600</v>
      </c>
      <c r="H37" s="33">
        <v>109600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8" customHeight="1">
      <c r="A38" s="237"/>
      <c r="B38" s="46"/>
      <c r="C38" s="46">
        <v>4040</v>
      </c>
      <c r="D38" s="32" t="s">
        <v>225</v>
      </c>
      <c r="E38" s="33">
        <f aca="true" t="shared" si="10" ref="E38:E48">F38+R38</f>
        <v>12200</v>
      </c>
      <c r="F38" s="236">
        <f t="shared" si="9"/>
        <v>12200</v>
      </c>
      <c r="G38" s="236">
        <f>H38+I38</f>
        <v>12200</v>
      </c>
      <c r="H38" s="33">
        <v>12200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18" customHeight="1">
      <c r="A39" s="237"/>
      <c r="B39" s="46"/>
      <c r="C39" s="46">
        <v>4110</v>
      </c>
      <c r="D39" s="32" t="s">
        <v>226</v>
      </c>
      <c r="E39" s="33">
        <f t="shared" si="10"/>
        <v>19150</v>
      </c>
      <c r="F39" s="236">
        <f t="shared" si="9"/>
        <v>19150</v>
      </c>
      <c r="G39" s="236">
        <f>H39+I39</f>
        <v>19150</v>
      </c>
      <c r="H39" s="33">
        <v>19150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8" customHeight="1">
      <c r="A40" s="237"/>
      <c r="B40" s="46"/>
      <c r="C40" s="46">
        <v>4120</v>
      </c>
      <c r="D40" s="32" t="s">
        <v>227</v>
      </c>
      <c r="E40" s="33">
        <f t="shared" si="10"/>
        <v>2980</v>
      </c>
      <c r="F40" s="236">
        <f t="shared" si="9"/>
        <v>2980</v>
      </c>
      <c r="G40" s="236">
        <f>H40+I40</f>
        <v>2980</v>
      </c>
      <c r="H40" s="33">
        <v>2980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8" customHeight="1">
      <c r="A41" s="237"/>
      <c r="B41" s="46"/>
      <c r="C41" s="46">
        <v>4210</v>
      </c>
      <c r="D41" s="32" t="s">
        <v>209</v>
      </c>
      <c r="E41" s="33">
        <f t="shared" si="10"/>
        <v>15200</v>
      </c>
      <c r="F41" s="236">
        <f t="shared" si="9"/>
        <v>15200</v>
      </c>
      <c r="G41" s="33">
        <v>15200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8" customHeight="1">
      <c r="A42" s="237"/>
      <c r="B42" s="46"/>
      <c r="C42" s="46">
        <v>4280</v>
      </c>
      <c r="D42" s="32" t="s">
        <v>268</v>
      </c>
      <c r="E42" s="33">
        <f t="shared" si="10"/>
        <v>200</v>
      </c>
      <c r="F42" s="236">
        <f t="shared" si="9"/>
        <v>200</v>
      </c>
      <c r="G42" s="33">
        <v>200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8" customHeight="1">
      <c r="A43" s="237"/>
      <c r="B43" s="46"/>
      <c r="C43" s="46">
        <v>4300</v>
      </c>
      <c r="D43" s="32" t="s">
        <v>205</v>
      </c>
      <c r="E43" s="33">
        <f t="shared" si="10"/>
        <v>15610</v>
      </c>
      <c r="F43" s="236">
        <f t="shared" si="9"/>
        <v>15610</v>
      </c>
      <c r="G43" s="33">
        <v>15610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30.75" customHeight="1">
      <c r="A44" s="237"/>
      <c r="B44" s="46"/>
      <c r="C44" s="46">
        <v>4370</v>
      </c>
      <c r="D44" s="32" t="s">
        <v>344</v>
      </c>
      <c r="E44" s="33">
        <f t="shared" si="10"/>
        <v>800</v>
      </c>
      <c r="F44" s="236">
        <f t="shared" si="9"/>
        <v>800</v>
      </c>
      <c r="G44" s="33">
        <v>800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8" customHeight="1">
      <c r="A45" s="237"/>
      <c r="B45" s="46"/>
      <c r="C45" s="46">
        <v>4410</v>
      </c>
      <c r="D45" s="32" t="s">
        <v>238</v>
      </c>
      <c r="E45" s="33">
        <f t="shared" si="10"/>
        <v>1200</v>
      </c>
      <c r="F45" s="236">
        <f t="shared" si="9"/>
        <v>1200</v>
      </c>
      <c r="G45" s="33">
        <v>1200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18" customHeight="1">
      <c r="A46" s="237"/>
      <c r="B46" s="46"/>
      <c r="C46" s="46">
        <v>4430</v>
      </c>
      <c r="D46" s="32" t="s">
        <v>214</v>
      </c>
      <c r="E46" s="33">
        <f t="shared" si="10"/>
        <v>600</v>
      </c>
      <c r="F46" s="236">
        <f t="shared" si="9"/>
        <v>600</v>
      </c>
      <c r="G46" s="33">
        <v>600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30.75" customHeight="1">
      <c r="A47" s="237"/>
      <c r="B47" s="46"/>
      <c r="C47" s="46">
        <v>4440</v>
      </c>
      <c r="D47" s="32" t="s">
        <v>271</v>
      </c>
      <c r="E47" s="33">
        <f t="shared" si="10"/>
        <v>5500</v>
      </c>
      <c r="F47" s="236">
        <f t="shared" si="9"/>
        <v>5500</v>
      </c>
      <c r="G47" s="33">
        <v>5500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30.75" customHeight="1">
      <c r="A48" s="237"/>
      <c r="B48" s="46"/>
      <c r="C48" s="46">
        <v>4700</v>
      </c>
      <c r="D48" s="32" t="s">
        <v>312</v>
      </c>
      <c r="E48" s="33">
        <f t="shared" si="10"/>
        <v>1100</v>
      </c>
      <c r="F48" s="236">
        <f t="shared" si="9"/>
        <v>1100</v>
      </c>
      <c r="G48" s="33">
        <v>1100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45.75" customHeight="1">
      <c r="A49" s="238"/>
      <c r="B49" s="44">
        <v>85213</v>
      </c>
      <c r="C49" s="44"/>
      <c r="D49" s="29" t="s">
        <v>313</v>
      </c>
      <c r="E49" s="30">
        <f aca="true" t="shared" si="11" ref="E49:N49">E50</f>
        <v>12000</v>
      </c>
      <c r="F49" s="30">
        <f t="shared" si="11"/>
        <v>12000</v>
      </c>
      <c r="G49" s="30">
        <f t="shared" si="11"/>
        <v>12000</v>
      </c>
      <c r="H49" s="30">
        <f t="shared" si="11"/>
        <v>0</v>
      </c>
      <c r="I49" s="30">
        <f t="shared" si="11"/>
        <v>0</v>
      </c>
      <c r="J49" s="30">
        <f t="shared" si="11"/>
        <v>0</v>
      </c>
      <c r="K49" s="30">
        <f t="shared" si="11"/>
        <v>0</v>
      </c>
      <c r="L49" s="30">
        <f t="shared" si="11"/>
        <v>0</v>
      </c>
      <c r="M49" s="30">
        <f t="shared" si="11"/>
        <v>0</v>
      </c>
      <c r="N49" s="30">
        <f t="shared" si="11"/>
        <v>0</v>
      </c>
      <c r="O49" s="30"/>
      <c r="P49" s="30">
        <f>P50</f>
        <v>0</v>
      </c>
      <c r="Q49" s="30"/>
      <c r="R49" s="30">
        <f>R50</f>
        <v>0</v>
      </c>
    </row>
    <row r="50" spans="1:18" ht="18" customHeight="1">
      <c r="A50" s="237"/>
      <c r="B50" s="46"/>
      <c r="C50" s="46">
        <v>4130</v>
      </c>
      <c r="D50" s="32" t="s">
        <v>314</v>
      </c>
      <c r="E50" s="33">
        <f>F50</f>
        <v>12000</v>
      </c>
      <c r="F50" s="236">
        <f>G50+K50+L50+J50+N50</f>
        <v>12000</v>
      </c>
      <c r="G50" s="33">
        <f>'zał 3'!E18</f>
        <v>12000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30.75" customHeight="1">
      <c r="A51" s="239"/>
      <c r="B51" s="239">
        <v>85228</v>
      </c>
      <c r="C51" s="239"/>
      <c r="D51" s="240" t="s">
        <v>140</v>
      </c>
      <c r="E51" s="241">
        <f aca="true" t="shared" si="12" ref="E51:N51">SUM(E52:E56)+SUM(E57:E61)</f>
        <v>78000</v>
      </c>
      <c r="F51" s="241">
        <f t="shared" si="12"/>
        <v>78000</v>
      </c>
      <c r="G51" s="241">
        <f t="shared" si="12"/>
        <v>78000</v>
      </c>
      <c r="H51" s="241">
        <f t="shared" si="12"/>
        <v>70050</v>
      </c>
      <c r="I51" s="241">
        <f t="shared" si="12"/>
        <v>0</v>
      </c>
      <c r="J51" s="241">
        <f t="shared" si="12"/>
        <v>0</v>
      </c>
      <c r="K51" s="241">
        <f t="shared" si="12"/>
        <v>0</v>
      </c>
      <c r="L51" s="241">
        <f t="shared" si="12"/>
        <v>0</v>
      </c>
      <c r="M51" s="241">
        <f t="shared" si="12"/>
        <v>0</v>
      </c>
      <c r="N51" s="241">
        <f t="shared" si="12"/>
        <v>0</v>
      </c>
      <c r="O51" s="241"/>
      <c r="P51" s="241">
        <f>SUM(P52:P56)+SUM(P57:P61)</f>
        <v>0</v>
      </c>
      <c r="Q51" s="241"/>
      <c r="R51" s="241">
        <f>SUM(R52:R56)+SUM(R57:R61)</f>
        <v>0</v>
      </c>
    </row>
    <row r="52" spans="1:18" ht="18" customHeight="1">
      <c r="A52" s="242"/>
      <c r="B52" s="242"/>
      <c r="C52" s="242">
        <v>4010</v>
      </c>
      <c r="D52" s="243" t="s">
        <v>265</v>
      </c>
      <c r="E52" s="236">
        <f>F52+P52</f>
        <v>54700</v>
      </c>
      <c r="F52" s="236">
        <f aca="true" t="shared" si="13" ref="F52:F61">G52+K52+L52+J52+N52</f>
        <v>54700</v>
      </c>
      <c r="G52" s="236">
        <f>H52+I52</f>
        <v>54700</v>
      </c>
      <c r="H52" s="244">
        <v>54700</v>
      </c>
      <c r="I52" s="33"/>
      <c r="J52" s="33"/>
      <c r="K52" s="33"/>
      <c r="L52" s="33"/>
      <c r="M52" s="244"/>
      <c r="N52" s="33"/>
      <c r="O52" s="33"/>
      <c r="P52" s="33"/>
      <c r="Q52" s="33"/>
      <c r="R52" s="33"/>
    </row>
    <row r="53" spans="1:18" ht="18" customHeight="1">
      <c r="A53" s="242"/>
      <c r="B53" s="242"/>
      <c r="C53" s="242">
        <v>4040</v>
      </c>
      <c r="D53" s="243" t="s">
        <v>225</v>
      </c>
      <c r="E53" s="236">
        <f>F53+P53</f>
        <v>4600</v>
      </c>
      <c r="F53" s="236">
        <f t="shared" si="13"/>
        <v>4600</v>
      </c>
      <c r="G53" s="236">
        <f>H53+I53</f>
        <v>4600</v>
      </c>
      <c r="H53" s="244">
        <v>4600</v>
      </c>
      <c r="I53" s="33"/>
      <c r="J53" s="33"/>
      <c r="K53" s="33"/>
      <c r="L53" s="33"/>
      <c r="M53" s="244"/>
      <c r="N53" s="33"/>
      <c r="O53" s="33"/>
      <c r="P53" s="33"/>
      <c r="Q53" s="33"/>
      <c r="R53" s="33"/>
    </row>
    <row r="54" spans="1:18" ht="18" customHeight="1">
      <c r="A54" s="242"/>
      <c r="B54" s="242"/>
      <c r="C54" s="242">
        <v>4110</v>
      </c>
      <c r="D54" s="243" t="s">
        <v>226</v>
      </c>
      <c r="E54" s="236">
        <f>F54+P54</f>
        <v>9300</v>
      </c>
      <c r="F54" s="236">
        <f t="shared" si="13"/>
        <v>9300</v>
      </c>
      <c r="G54" s="236">
        <f>H54+I54</f>
        <v>9300</v>
      </c>
      <c r="H54" s="33">
        <v>9300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8" customHeight="1">
      <c r="A55" s="242"/>
      <c r="B55" s="242"/>
      <c r="C55" s="242">
        <v>4120</v>
      </c>
      <c r="D55" s="243" t="s">
        <v>227</v>
      </c>
      <c r="E55" s="236">
        <f>F55+P55</f>
        <v>1450</v>
      </c>
      <c r="F55" s="236">
        <f t="shared" si="13"/>
        <v>1450</v>
      </c>
      <c r="G55" s="236">
        <f>H55+I55</f>
        <v>1450</v>
      </c>
      <c r="H55" s="33">
        <v>1450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8" customHeight="1">
      <c r="A56" s="242"/>
      <c r="B56" s="242"/>
      <c r="C56" s="242">
        <v>4210</v>
      </c>
      <c r="D56" s="243" t="s">
        <v>209</v>
      </c>
      <c r="E56" s="33">
        <f aca="true" t="shared" si="14" ref="E56:E61">F56+R56</f>
        <v>1900</v>
      </c>
      <c r="F56" s="236">
        <f t="shared" si="13"/>
        <v>1900</v>
      </c>
      <c r="G56" s="244">
        <v>1900</v>
      </c>
      <c r="H56" s="244"/>
      <c r="I56" s="244"/>
      <c r="J56" s="244"/>
      <c r="K56" s="244"/>
      <c r="L56" s="244"/>
      <c r="M56" s="33"/>
      <c r="N56" s="33"/>
      <c r="O56" s="33"/>
      <c r="P56" s="33"/>
      <c r="Q56" s="33"/>
      <c r="R56" s="33"/>
    </row>
    <row r="57" spans="1:18" ht="18" customHeight="1">
      <c r="A57" s="242"/>
      <c r="B57" s="242"/>
      <c r="C57" s="242">
        <v>4280</v>
      </c>
      <c r="D57" s="243" t="s">
        <v>347</v>
      </c>
      <c r="E57" s="33">
        <f t="shared" si="14"/>
        <v>150</v>
      </c>
      <c r="F57" s="236">
        <f t="shared" si="13"/>
        <v>150</v>
      </c>
      <c r="G57" s="244">
        <v>150</v>
      </c>
      <c r="H57" s="244"/>
      <c r="I57" s="244"/>
      <c r="J57" s="244"/>
      <c r="K57" s="244"/>
      <c r="L57" s="244"/>
      <c r="M57" s="30"/>
      <c r="N57" s="30"/>
      <c r="O57" s="30"/>
      <c r="P57" s="30"/>
      <c r="Q57" s="30"/>
      <c r="R57" s="30"/>
    </row>
    <row r="58" spans="1:18" ht="18" customHeight="1">
      <c r="A58" s="242"/>
      <c r="B58" s="242"/>
      <c r="C58" s="242">
        <v>4300</v>
      </c>
      <c r="D58" s="243" t="s">
        <v>287</v>
      </c>
      <c r="E58" s="33">
        <f t="shared" si="14"/>
        <v>1600</v>
      </c>
      <c r="F58" s="236">
        <f t="shared" si="13"/>
        <v>1600</v>
      </c>
      <c r="G58" s="244">
        <v>1600</v>
      </c>
      <c r="H58" s="244"/>
      <c r="I58" s="244"/>
      <c r="J58" s="244"/>
      <c r="K58" s="244"/>
      <c r="L58" s="244"/>
      <c r="M58" s="33"/>
      <c r="N58" s="33"/>
      <c r="O58" s="33"/>
      <c r="P58" s="33"/>
      <c r="Q58" s="33"/>
      <c r="R58" s="33"/>
    </row>
    <row r="59" spans="1:18" ht="18" customHeight="1">
      <c r="A59" s="242"/>
      <c r="B59" s="242"/>
      <c r="C59" s="242">
        <v>4410</v>
      </c>
      <c r="D59" s="243" t="s">
        <v>238</v>
      </c>
      <c r="E59" s="33">
        <f t="shared" si="14"/>
        <v>400</v>
      </c>
      <c r="F59" s="236">
        <f t="shared" si="13"/>
        <v>400</v>
      </c>
      <c r="G59" s="244">
        <v>400</v>
      </c>
      <c r="H59" s="244"/>
      <c r="I59" s="244"/>
      <c r="J59" s="244"/>
      <c r="K59" s="244"/>
      <c r="L59" s="244"/>
      <c r="M59" s="33"/>
      <c r="N59" s="33"/>
      <c r="O59" s="33"/>
      <c r="P59" s="33"/>
      <c r="Q59" s="33"/>
      <c r="R59" s="33"/>
    </row>
    <row r="60" spans="1:18" ht="30.75" customHeight="1">
      <c r="A60" s="242"/>
      <c r="B60" s="242"/>
      <c r="C60" s="242">
        <v>4440</v>
      </c>
      <c r="D60" s="243" t="s">
        <v>271</v>
      </c>
      <c r="E60" s="33">
        <f t="shared" si="14"/>
        <v>3300</v>
      </c>
      <c r="F60" s="236">
        <f t="shared" si="13"/>
        <v>3300</v>
      </c>
      <c r="G60" s="244">
        <v>3300</v>
      </c>
      <c r="H60" s="244"/>
      <c r="I60" s="244"/>
      <c r="J60" s="244"/>
      <c r="K60" s="244"/>
      <c r="L60" s="244"/>
      <c r="M60" s="33"/>
      <c r="N60" s="33"/>
      <c r="O60" s="33"/>
      <c r="P60" s="33"/>
      <c r="Q60" s="33"/>
      <c r="R60" s="33"/>
    </row>
    <row r="61" spans="1:18" ht="30.75" customHeight="1">
      <c r="A61" s="242"/>
      <c r="B61" s="242"/>
      <c r="C61" s="46">
        <v>4700</v>
      </c>
      <c r="D61" s="32" t="s">
        <v>312</v>
      </c>
      <c r="E61" s="33">
        <f t="shared" si="14"/>
        <v>600</v>
      </c>
      <c r="F61" s="236">
        <f t="shared" si="13"/>
        <v>600</v>
      </c>
      <c r="G61" s="33">
        <v>600</v>
      </c>
      <c r="H61" s="244"/>
      <c r="I61" s="244"/>
      <c r="J61" s="244"/>
      <c r="K61" s="244"/>
      <c r="L61" s="244"/>
      <c r="M61" s="33"/>
      <c r="N61" s="33"/>
      <c r="O61" s="33"/>
      <c r="P61" s="33"/>
      <c r="Q61" s="33"/>
      <c r="R61" s="33"/>
    </row>
    <row r="62" spans="1:18" ht="18" customHeight="1">
      <c r="A62" s="528" t="s">
        <v>163</v>
      </c>
      <c r="B62" s="528"/>
      <c r="C62" s="528"/>
      <c r="D62" s="528"/>
      <c r="E62" s="30">
        <f aca="true" t="shared" si="15" ref="E62:R62">E17+E7+E13</f>
        <v>5867470</v>
      </c>
      <c r="F62" s="30">
        <f t="shared" si="15"/>
        <v>5867470</v>
      </c>
      <c r="G62" s="30">
        <f t="shared" si="15"/>
        <v>801610</v>
      </c>
      <c r="H62" s="30">
        <f t="shared" si="15"/>
        <v>629350</v>
      </c>
      <c r="I62" s="30">
        <f t="shared" si="15"/>
        <v>0</v>
      </c>
      <c r="J62" s="30">
        <f t="shared" si="15"/>
        <v>0</v>
      </c>
      <c r="K62" s="30">
        <f t="shared" si="15"/>
        <v>5065860</v>
      </c>
      <c r="L62" s="30">
        <f t="shared" si="15"/>
        <v>0</v>
      </c>
      <c r="M62" s="30">
        <f t="shared" si="15"/>
        <v>0</v>
      </c>
      <c r="N62" s="30">
        <f t="shared" si="15"/>
        <v>0</v>
      </c>
      <c r="O62" s="30">
        <f t="shared" si="15"/>
        <v>0</v>
      </c>
      <c r="P62" s="30">
        <f t="shared" si="15"/>
        <v>0</v>
      </c>
      <c r="Q62" s="30">
        <f t="shared" si="15"/>
        <v>0</v>
      </c>
      <c r="R62" s="30">
        <f t="shared" si="15"/>
        <v>0</v>
      </c>
    </row>
  </sheetData>
  <sheetProtection selectLockedCells="1" selectUnlockedCells="1"/>
  <mergeCells count="21">
    <mergeCell ref="A62:D62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 horizontalCentered="1"/>
  <pageMargins left="0.5902777777777778" right="0.5902777777777778" top="0.9854166666666666" bottom="0.7569444444444444" header="0.5902777777777778" footer="0.5902777777777778"/>
  <pageSetup horizontalDpi="300" verticalDpi="300" orientation="landscape" paperSize="9" scale="59" r:id="rId1"/>
  <headerFooter alignWithMargins="0">
    <oddHeader>&amp;R&amp;"Times New Roman,Normalny"&amp;12Załącznik Nr 8 do Uchwały  Nr III/12/2010 Rady Miejskiej w Barlinku z dnia 30 grudnia 2010</oddHeader>
    <oddFooter>&amp;C&amp;"Times New Roman,Normalny"&amp;12Strona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0"/>
  <sheetViews>
    <sheetView showGridLines="0" defaultGridColor="0" view="pageBreakPreview" zoomScaleSheetLayoutView="100" colorId="15" workbookViewId="0" topLeftCell="B1">
      <selection activeCell="R10" sqref="R10"/>
    </sheetView>
  </sheetViews>
  <sheetFormatPr defaultColWidth="9.00390625" defaultRowHeight="12.75"/>
  <cols>
    <col min="1" max="1" width="6.375" style="94" customWidth="1"/>
    <col min="2" max="2" width="9.875" style="94" customWidth="1"/>
    <col min="3" max="3" width="6.875" style="94" customWidth="1"/>
    <col min="4" max="4" width="29.125" style="94" customWidth="1"/>
    <col min="5" max="5" width="14.875" style="94" customWidth="1"/>
    <col min="6" max="6" width="13.625" style="94" customWidth="1"/>
    <col min="7" max="7" width="15.625" style="94" customWidth="1"/>
    <col min="8" max="8" width="15.75390625" style="94" customWidth="1"/>
    <col min="9" max="9" width="12.25390625" style="94" customWidth="1"/>
    <col min="10" max="10" width="15.625" style="94" customWidth="1"/>
    <col min="11" max="11" width="15.75390625" style="94" customWidth="1"/>
    <col min="12" max="12" width="12.25390625" style="94" customWidth="1"/>
    <col min="13" max="13" width="15.75390625" style="94" customWidth="1"/>
    <col min="14" max="14" width="12.25390625" style="94" customWidth="1"/>
    <col min="15" max="15" width="15.625" style="94" customWidth="1"/>
    <col min="16" max="16" width="15.75390625" style="94" customWidth="1"/>
    <col min="17" max="17" width="12.25390625" style="94" customWidth="1"/>
    <col min="18" max="18" width="15.875" style="94" customWidth="1"/>
    <col min="19" max="16384" width="9.00390625" style="94" customWidth="1"/>
  </cols>
  <sheetData>
    <row r="1" spans="1:18" ht="81" customHeight="1">
      <c r="A1" s="529" t="s">
        <v>348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s="245" customFormat="1" ht="15" customHeight="1">
      <c r="A2" s="536" t="s">
        <v>1</v>
      </c>
      <c r="B2" s="536" t="s">
        <v>21</v>
      </c>
      <c r="C2" s="536" t="s">
        <v>22</v>
      </c>
      <c r="D2" s="536" t="s">
        <v>186</v>
      </c>
      <c r="E2" s="536" t="s">
        <v>187</v>
      </c>
      <c r="F2" s="537" t="s">
        <v>188</v>
      </c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</row>
    <row r="3" spans="1:18" s="245" customFormat="1" ht="12" customHeight="1">
      <c r="A3" s="536"/>
      <c r="B3" s="536"/>
      <c r="C3" s="536"/>
      <c r="D3" s="536"/>
      <c r="E3" s="536"/>
      <c r="F3" s="538" t="s">
        <v>177</v>
      </c>
      <c r="G3" s="539" t="s">
        <v>25</v>
      </c>
      <c r="H3" s="539"/>
      <c r="I3" s="539"/>
      <c r="J3" s="539"/>
      <c r="K3" s="539"/>
      <c r="L3" s="539"/>
      <c r="M3" s="539"/>
      <c r="N3" s="539"/>
      <c r="O3" s="540" t="s">
        <v>189</v>
      </c>
      <c r="P3" s="539" t="s">
        <v>25</v>
      </c>
      <c r="Q3" s="539"/>
      <c r="R3" s="539"/>
    </row>
    <row r="4" spans="1:18" s="245" customFormat="1" ht="13.5" customHeight="1">
      <c r="A4" s="536"/>
      <c r="B4" s="536"/>
      <c r="C4" s="536"/>
      <c r="D4" s="536"/>
      <c r="E4" s="536"/>
      <c r="F4" s="538"/>
      <c r="G4" s="538" t="s">
        <v>190</v>
      </c>
      <c r="H4" s="539" t="s">
        <v>191</v>
      </c>
      <c r="I4" s="539"/>
      <c r="J4" s="542" t="s">
        <v>192</v>
      </c>
      <c r="K4" s="542" t="s">
        <v>193</v>
      </c>
      <c r="L4" s="542" t="s">
        <v>26</v>
      </c>
      <c r="M4" s="542" t="s">
        <v>194</v>
      </c>
      <c r="N4" s="542" t="s">
        <v>195</v>
      </c>
      <c r="O4" s="540"/>
      <c r="P4" s="542" t="s">
        <v>196</v>
      </c>
      <c r="Q4" s="233" t="s">
        <v>25</v>
      </c>
      <c r="R4" s="542" t="s">
        <v>197</v>
      </c>
    </row>
    <row r="5" spans="1:18" ht="84">
      <c r="A5" s="536"/>
      <c r="B5" s="536"/>
      <c r="C5" s="536"/>
      <c r="D5" s="536"/>
      <c r="E5" s="536"/>
      <c r="F5" s="538"/>
      <c r="G5" s="538"/>
      <c r="H5" s="138" t="s">
        <v>198</v>
      </c>
      <c r="I5" s="232" t="s">
        <v>199</v>
      </c>
      <c r="J5" s="542"/>
      <c r="K5" s="542"/>
      <c r="L5" s="542"/>
      <c r="M5" s="542"/>
      <c r="N5" s="542"/>
      <c r="O5" s="540"/>
      <c r="P5" s="542"/>
      <c r="Q5" s="234" t="s">
        <v>200</v>
      </c>
      <c r="R5" s="542"/>
    </row>
    <row r="6" spans="1:20" ht="18.75" customHeight="1">
      <c r="A6" s="43">
        <v>710</v>
      </c>
      <c r="B6" s="43"/>
      <c r="C6" s="43"/>
      <c r="D6" s="26" t="s">
        <v>217</v>
      </c>
      <c r="E6" s="27">
        <f aca="true" t="shared" si="0" ref="E6:R7">E7</f>
        <v>7000</v>
      </c>
      <c r="F6" s="27">
        <f t="shared" si="0"/>
        <v>7000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  <c r="N6" s="27">
        <f t="shared" si="0"/>
        <v>0</v>
      </c>
      <c r="O6" s="27">
        <f t="shared" si="0"/>
        <v>0</v>
      </c>
      <c r="P6" s="27">
        <f t="shared" si="0"/>
        <v>0</v>
      </c>
      <c r="Q6" s="27">
        <f t="shared" si="0"/>
        <v>0</v>
      </c>
      <c r="R6" s="27">
        <f t="shared" si="0"/>
        <v>0</v>
      </c>
      <c r="S6" s="58"/>
      <c r="T6" s="58"/>
    </row>
    <row r="7" spans="1:18" ht="18.75" customHeight="1">
      <c r="A7" s="44"/>
      <c r="B7" s="44">
        <v>71035</v>
      </c>
      <c r="C7" s="44"/>
      <c r="D7" s="45" t="s">
        <v>55</v>
      </c>
      <c r="E7" s="30">
        <f t="shared" si="0"/>
        <v>7000</v>
      </c>
      <c r="F7" s="30">
        <f t="shared" si="0"/>
        <v>7000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1:18" s="15" customFormat="1" ht="18" customHeight="1">
      <c r="A8" s="237"/>
      <c r="B8" s="237"/>
      <c r="C8" s="237">
        <v>4300</v>
      </c>
      <c r="D8" s="246" t="s">
        <v>287</v>
      </c>
      <c r="E8" s="33">
        <f>F8</f>
        <v>7000</v>
      </c>
      <c r="F8" s="33">
        <v>7000</v>
      </c>
      <c r="G8" s="33"/>
      <c r="H8" s="33"/>
      <c r="I8" s="33"/>
      <c r="J8" s="33"/>
      <c r="K8" s="33"/>
      <c r="L8" s="33"/>
      <c r="M8" s="33"/>
      <c r="N8" s="33"/>
      <c r="O8" s="237"/>
      <c r="P8" s="237"/>
      <c r="Q8" s="237"/>
      <c r="R8" s="237"/>
    </row>
    <row r="9" ht="15.75" customHeight="1"/>
    <row r="10" ht="15.75" customHeight="1">
      <c r="A10" s="247"/>
    </row>
  </sheetData>
  <sheetProtection selectLockedCells="1" selectUnlockedCells="1"/>
  <mergeCells count="20"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53" r:id="rId1"/>
  <headerFooter alignWithMargins="0">
    <oddHeader>&amp;R&amp;"Times New Roman,Normalny"&amp;12Załącznik Nr 9 do Uchwały  Nr III/12/2010 Rady Miejskiej w Barlinku z dnia 30 grudnia 2010</oddHeader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Patrzałek</dc:creator>
  <cp:keywords/>
  <dc:description/>
  <cp:lastModifiedBy>Podworska</cp:lastModifiedBy>
  <cp:lastPrinted>2010-12-21T12:05:44Z</cp:lastPrinted>
  <dcterms:created xsi:type="dcterms:W3CDTF">1998-12-09T14:02:10Z</dcterms:created>
  <dcterms:modified xsi:type="dcterms:W3CDTF">2011-01-11T10:35:54Z</dcterms:modified>
  <cp:category/>
  <cp:version/>
  <cp:contentType/>
  <cp:contentStatus/>
  <cp:revision>766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315365592</vt:r8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